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G:\FINANCIAL SERVICES\BUDGET\Budget Amendments and Quarterly Reviews\2024 Amendments\City Council\POST MEETING DOCUMENTS\5-28-24\"/>
    </mc:Choice>
  </mc:AlternateContent>
  <xr:revisionPtr revIDLastSave="0" documentId="13_ncr:1_{3E84BDDE-ED6F-4005-9468-7DBC9A6DA0D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ttachment" sheetId="1" r:id="rId1"/>
  </sheets>
  <definedNames>
    <definedName name="_xlnm.Print_Area" localSheetId="0">Attachment!$A$1:$F$361</definedName>
    <definedName name="Z_42656511_B4D8_4F96_B13E_D97906B3341F_.wvu.PrintArea" localSheetId="0" hidden="1">Attachment!$A$1:$F$279</definedName>
    <definedName name="Z_C6D943DA_BB19_43A1_B830_736D9C012146_.wvu.PrintArea" localSheetId="0" hidden="1">Attachment!$A$1:$F$280</definedName>
  </definedNames>
  <calcPr calcId="191029"/>
  <customWorkbookViews>
    <customWorkbookView name="Marla Keehn - Personal View" guid="{C6D943DA-BB19-43A1-B830-736D9C012146}" mergeInterval="0" personalView="1" maximized="1" xWindow="1912" yWindow="-8" windowWidth="1936" windowHeight="1056" activeSheetId="1"/>
    <customWorkbookView name="eric.crawford - Personal View" guid="{42656511-B4D8-4F96-B13E-D97906B3341F}" mergeInterval="0" personalView="1" xWindow="-8" windowWidth="1928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3" i="1" l="1"/>
  <c r="E138" i="1"/>
  <c r="E9" i="1"/>
  <c r="E361" i="1"/>
  <c r="E163" i="1"/>
  <c r="F339" i="1"/>
  <c r="F63" i="1"/>
  <c r="E253" i="1"/>
  <c r="E250" i="1"/>
  <c r="E245" i="1"/>
  <c r="E242" i="1"/>
  <c r="E229" i="1"/>
  <c r="E226" i="1"/>
  <c r="E169" i="1"/>
  <c r="E172" i="1"/>
  <c r="E160" i="1"/>
  <c r="F159" i="1"/>
  <c r="E155" i="1"/>
  <c r="E152" i="1"/>
  <c r="E144" i="1"/>
  <c r="E12" i="1"/>
  <c r="F8" i="1"/>
  <c r="E74" i="1" l="1"/>
  <c r="F137" i="1"/>
  <c r="E120" i="1"/>
  <c r="E122" i="1" s="1"/>
  <c r="E68" i="1"/>
  <c r="F67" i="1"/>
  <c r="F43" i="1"/>
  <c r="F39" i="1"/>
  <c r="E48" i="1"/>
  <c r="F21" i="1"/>
  <c r="E22" i="1"/>
  <c r="E19" i="1"/>
  <c r="F17" i="1"/>
  <c r="E340" i="1" l="1"/>
  <c r="E337" i="1"/>
  <c r="F322" i="1"/>
  <c r="F319" i="1"/>
  <c r="E323" i="1"/>
  <c r="E320" i="1"/>
  <c r="F27" i="1"/>
  <c r="F74" i="1" l="1"/>
  <c r="F355" i="1" l="1"/>
  <c r="F358" i="1"/>
  <c r="F349" i="1"/>
  <c r="F346" i="1"/>
  <c r="E359" i="1"/>
  <c r="E356" i="1"/>
  <c r="E350" i="1"/>
  <c r="E347" i="1"/>
  <c r="F233" i="1"/>
  <c r="F237" i="1"/>
  <c r="E234" i="1"/>
  <c r="E189" i="1"/>
  <c r="E186" i="1"/>
  <c r="E197" i="1"/>
  <c r="F196" i="1"/>
  <c r="E194" i="1"/>
  <c r="E180" i="1"/>
  <c r="E177" i="1"/>
  <c r="E210" i="1"/>
  <c r="E213" i="1"/>
  <c r="F220" i="1"/>
  <c r="F217" i="1"/>
  <c r="E202" i="1"/>
  <c r="E205" i="1"/>
  <c r="E221" i="1"/>
  <c r="E218" i="1"/>
  <c r="E147" i="1"/>
  <c r="F102" i="1"/>
  <c r="E75" i="1" l="1"/>
  <c r="E261" i="1"/>
  <c r="E258" i="1"/>
  <c r="E135" i="1"/>
  <c r="F114" i="1"/>
  <c r="F119" i="1"/>
  <c r="F327" i="1"/>
  <c r="F330" i="1"/>
  <c r="E331" i="1"/>
  <c r="E328" i="1"/>
  <c r="F314" i="1"/>
  <c r="F311" i="1"/>
  <c r="E315" i="1"/>
  <c r="E312" i="1"/>
  <c r="F305" i="1"/>
  <c r="F302" i="1"/>
  <c r="E306" i="1"/>
  <c r="E303" i="1"/>
  <c r="F297" i="1"/>
  <c r="F294" i="1"/>
  <c r="E298" i="1"/>
  <c r="E295" i="1"/>
  <c r="F289" i="1"/>
  <c r="F286" i="1"/>
  <c r="E290" i="1"/>
  <c r="E287" i="1"/>
  <c r="E107" i="1"/>
  <c r="F106" i="1"/>
  <c r="F105" i="1"/>
  <c r="E103" i="1"/>
  <c r="E30" i="1" l="1"/>
  <c r="F29" i="1"/>
  <c r="F28" i="1"/>
  <c r="F58" i="1"/>
  <c r="F57" i="1"/>
  <c r="F54" i="1"/>
  <c r="F53" i="1"/>
  <c r="E59" i="1"/>
  <c r="E55" i="1"/>
  <c r="F47" i="1"/>
  <c r="F46" i="1"/>
  <c r="F45" i="1"/>
  <c r="F44" i="1"/>
  <c r="F40" i="1"/>
  <c r="F38" i="1"/>
  <c r="E41" i="1"/>
  <c r="F88" i="1"/>
  <c r="E93" i="1"/>
  <c r="E95" i="1" s="1"/>
  <c r="E89" i="1"/>
  <c r="F83" i="1"/>
  <c r="F92" i="1" s="1"/>
  <c r="F84" i="1"/>
  <c r="F91" i="1" s="1"/>
  <c r="E77" i="1" l="1"/>
  <c r="E85" i="1"/>
  <c r="E115" i="1"/>
  <c r="E279" i="1" l="1"/>
  <c r="E276" i="1"/>
  <c r="E271" i="1" l="1"/>
  <c r="E268" i="1"/>
</calcChain>
</file>

<file path=xl/sharedStrings.xml><?xml version="1.0" encoding="utf-8"?>
<sst xmlns="http://schemas.openxmlformats.org/spreadsheetml/2006/main" count="524" uniqueCount="211">
  <si>
    <t>INCREASE/</t>
  </si>
  <si>
    <t>REVISED</t>
  </si>
  <si>
    <t>DECREASE</t>
  </si>
  <si>
    <t>BUDGET</t>
  </si>
  <si>
    <t>GENERAL FUND</t>
  </si>
  <si>
    <t>Total</t>
  </si>
  <si>
    <t>ATTACHMENT "A"</t>
  </si>
  <si>
    <t>Revenue</t>
  </si>
  <si>
    <t>Expenditure</t>
  </si>
  <si>
    <t>Total General Fund Operational Amendments</t>
  </si>
  <si>
    <t>CAPITAL IMPROVEMENT FUND</t>
  </si>
  <si>
    <t>Expenditures</t>
  </si>
  <si>
    <t>GENERAL PROJECTS (311 &amp; 312)</t>
  </si>
  <si>
    <t>Total Capital Improvement Fund Amendments</t>
  </si>
  <si>
    <t>381000</t>
  </si>
  <si>
    <t>Machinery &amp; Equipment</t>
  </si>
  <si>
    <t>Inter To (311) General Construction</t>
  </si>
  <si>
    <t>Inter In (001) General Fund</t>
  </si>
  <si>
    <t>WATER &amp; SEWER FUND</t>
  </si>
  <si>
    <t>Total Water &amp; Sewer Fund Operational Amendments</t>
  </si>
  <si>
    <t>Contractual Employee</t>
  </si>
  <si>
    <t>Non-Departmental</t>
  </si>
  <si>
    <t>64324 - Longwood Subdivision Road Resurfacing &amp; Reconstruction</t>
  </si>
  <si>
    <t>364870</t>
  </si>
  <si>
    <t>64324</t>
  </si>
  <si>
    <t>36441</t>
  </si>
  <si>
    <t>565020</t>
  </si>
  <si>
    <t>Infrastructure Design - Streets</t>
  </si>
  <si>
    <t>STATE HOUSING INITIATIVE PROGRAM (SHIP)</t>
  </si>
  <si>
    <t>57800581</t>
  </si>
  <si>
    <t>591050</t>
  </si>
  <si>
    <t>57800554</t>
  </si>
  <si>
    <t>534210</t>
  </si>
  <si>
    <t>Inter To (001) General Fund</t>
  </si>
  <si>
    <t>Rehabilitation Contracts</t>
  </si>
  <si>
    <t>361111</t>
  </si>
  <si>
    <t>5783613</t>
  </si>
  <si>
    <t>Interest Income - EPC Restricted</t>
  </si>
  <si>
    <t>Total SHIP Fund Amendments</t>
  </si>
  <si>
    <t>(Operational Adjustments)</t>
  </si>
  <si>
    <t>Golf Annual Fees</t>
  </si>
  <si>
    <t>Golf Club Rental</t>
  </si>
  <si>
    <t>Overtime</t>
  </si>
  <si>
    <t>Merchant Charges</t>
  </si>
  <si>
    <t>Operating Supplies</t>
  </si>
  <si>
    <t>Golf Pull Carts</t>
  </si>
  <si>
    <t>Crane Creek Reserve Golf Course</t>
  </si>
  <si>
    <t>Crane Creek Reserve Restaurant</t>
  </si>
  <si>
    <t>Food Supplies</t>
  </si>
  <si>
    <t>Alcohol Supplies</t>
  </si>
  <si>
    <t>Golf Course Food Sales</t>
  </si>
  <si>
    <t>Golf Course Alcohol Sales</t>
  </si>
  <si>
    <t>Human Resources</t>
  </si>
  <si>
    <t>(Expense Budget Transfer from Risk Fund)</t>
  </si>
  <si>
    <t>Flexible Spending Admin Fee</t>
  </si>
  <si>
    <t>COBRA Admin Fee</t>
  </si>
  <si>
    <t>RISK MANAGEMENT FUND</t>
  </si>
  <si>
    <t>12200513</t>
  </si>
  <si>
    <t>533020</t>
  </si>
  <si>
    <t>533080</t>
  </si>
  <si>
    <t>(Expense Budget Transfer to Human Resources)</t>
  </si>
  <si>
    <t>64224 - Tradewinds Homes Subdivision Road Resurfacing &amp; Reconstruction</t>
  </si>
  <si>
    <t>64224</t>
  </si>
  <si>
    <t>TRANSPORTATION PROJECTS (361)</t>
  </si>
  <si>
    <t>10621 - Golf Course Improvements</t>
  </si>
  <si>
    <t>317810</t>
  </si>
  <si>
    <t>381017</t>
  </si>
  <si>
    <t>10621</t>
  </si>
  <si>
    <t>Inter In (371) Recreation</t>
  </si>
  <si>
    <t>31772</t>
  </si>
  <si>
    <t>563000</t>
  </si>
  <si>
    <t>Improvements Other Than Building</t>
  </si>
  <si>
    <t>9413870</t>
  </si>
  <si>
    <t>387034</t>
  </si>
  <si>
    <t>Approp From RE PY Surplus</t>
  </si>
  <si>
    <t>WATER &amp; SEWER PROJECTS (413)</t>
  </si>
  <si>
    <t>32318 - Hoag Sewer Force Main</t>
  </si>
  <si>
    <t>413384</t>
  </si>
  <si>
    <t>338002</t>
  </si>
  <si>
    <t>32318</t>
  </si>
  <si>
    <t>Save Our Laogoon (SOIRL) Trust</t>
  </si>
  <si>
    <t>41335</t>
  </si>
  <si>
    <t>32620 - Roxy Avenue Sewer Force Main</t>
  </si>
  <si>
    <t>32620</t>
  </si>
  <si>
    <t>32418 - Riverside Drive Sewer Force Main</t>
  </si>
  <si>
    <t>32418</t>
  </si>
  <si>
    <t>33516 - Grant Water Reclamation Facility Improvements</t>
  </si>
  <si>
    <t>33516</t>
  </si>
  <si>
    <t>31024 - Rehab Five Ground Storage Tanks</t>
  </si>
  <si>
    <t>31024</t>
  </si>
  <si>
    <t>41333</t>
  </si>
  <si>
    <t>413870</t>
  </si>
  <si>
    <t>387028</t>
  </si>
  <si>
    <t>Intra In (419) W&amp;S</t>
  </si>
  <si>
    <t>94100587</t>
  </si>
  <si>
    <t>591740</t>
  </si>
  <si>
    <t>Intra To (419) W&amp;S Projects</t>
  </si>
  <si>
    <t>10317 - PD Headquarters Building Project</t>
  </si>
  <si>
    <t>312613</t>
  </si>
  <si>
    <t>361103</t>
  </si>
  <si>
    <t>10317</t>
  </si>
  <si>
    <t>Interest-Bond Proceeds</t>
  </si>
  <si>
    <t>31221</t>
  </si>
  <si>
    <t>562000</t>
  </si>
  <si>
    <t>Buildings</t>
  </si>
  <si>
    <t>18013</t>
  </si>
  <si>
    <t>1223870</t>
  </si>
  <si>
    <t>Regular Salaries</t>
  </si>
  <si>
    <t>10223 - Heavy Rescue Truck</t>
  </si>
  <si>
    <t>312840</t>
  </si>
  <si>
    <t>384009</t>
  </si>
  <si>
    <t>10223</t>
  </si>
  <si>
    <t>Future Bond Proceeds</t>
  </si>
  <si>
    <t>12120 - Computer Aided Dispatch System - CAD</t>
  </si>
  <si>
    <t>31220</t>
  </si>
  <si>
    <t>12120</t>
  </si>
  <si>
    <t>564000</t>
  </si>
  <si>
    <t>568010</t>
  </si>
  <si>
    <t>Intangible - Computer Software</t>
  </si>
  <si>
    <t>312810</t>
  </si>
  <si>
    <t>381041</t>
  </si>
  <si>
    <t>Inter In (001) General Fund - ARPA</t>
  </si>
  <si>
    <t>11823 - Tennis &amp; Ballfield Lighting</t>
  </si>
  <si>
    <t>11823</t>
  </si>
  <si>
    <t>10023 - Modernize Cybersecurity Infrastructure</t>
  </si>
  <si>
    <t>10023</t>
  </si>
  <si>
    <t>31119</t>
  </si>
  <si>
    <t>311810</t>
  </si>
  <si>
    <t>(cancel project)</t>
  </si>
  <si>
    <t>14023</t>
  </si>
  <si>
    <t>31441</t>
  </si>
  <si>
    <t>565050</t>
  </si>
  <si>
    <t>Infrast-Drainage</t>
  </si>
  <si>
    <t>314810</t>
  </si>
  <si>
    <t>14123- Bigonia Ave. Culvert Replacement</t>
  </si>
  <si>
    <t>14123</t>
  </si>
  <si>
    <t>STORMWATER PROJECTS (430)</t>
  </si>
  <si>
    <t>20419 - Cherry St. / US-1 Baffle Box</t>
  </si>
  <si>
    <t>433384</t>
  </si>
  <si>
    <t>20419</t>
  </si>
  <si>
    <t>43338</t>
  </si>
  <si>
    <t xml:space="preserve">20020 - Spring Creek Baffle Box </t>
  </si>
  <si>
    <t>20020</t>
  </si>
  <si>
    <t>Police Department</t>
  </si>
  <si>
    <t>(Appropriation of insurance proceeds)</t>
  </si>
  <si>
    <t>Contingency</t>
  </si>
  <si>
    <t>61200536</t>
  </si>
  <si>
    <t>514000</t>
  </si>
  <si>
    <t>552220</t>
  </si>
  <si>
    <t>Misc Equipment &amp; Furnishings</t>
  </si>
  <si>
    <t>90100519</t>
  </si>
  <si>
    <t>512000</t>
  </si>
  <si>
    <t>(Interest Income)</t>
  </si>
  <si>
    <t>31124 - Lake Washington SWTP Roof Replacement</t>
  </si>
  <si>
    <t>31124</t>
  </si>
  <si>
    <t>562010</t>
  </si>
  <si>
    <t>Building Improvements</t>
  </si>
  <si>
    <t>30099 - Unappropriated Budget Savings</t>
  </si>
  <si>
    <t>30099</t>
  </si>
  <si>
    <t>41336</t>
  </si>
  <si>
    <t>590300</t>
  </si>
  <si>
    <t>Unappropriated Budget Savings</t>
  </si>
  <si>
    <t>Surplus Equipment</t>
  </si>
  <si>
    <t>Insurance Proceeds</t>
  </si>
  <si>
    <t>Machinery &amp; Equipment - Police Vehicles</t>
  </si>
  <si>
    <t>Greens Fees</t>
  </si>
  <si>
    <t>Golf Cart Rental</t>
  </si>
  <si>
    <t>Golf Pro Shop</t>
  </si>
  <si>
    <t>18013 - Horse Creek Boat Launch</t>
  </si>
  <si>
    <t>323810</t>
  </si>
  <si>
    <t>Inter in (001) General Fund</t>
  </si>
  <si>
    <t>Improvements Other than Building</t>
  </si>
  <si>
    <t>32772</t>
  </si>
  <si>
    <t>General Fund Operational Savings to Operating Budgets</t>
  </si>
  <si>
    <t>Misc. Equipment &amp; Furnishings</t>
  </si>
  <si>
    <t>Fire Department</t>
  </si>
  <si>
    <t>General Fund Operational Savings to CIP Projects</t>
  </si>
  <si>
    <t>Recognition of W&amp;S Bond Interest</t>
  </si>
  <si>
    <t>SHIP Program Administration Revenue</t>
  </si>
  <si>
    <t>5653810</t>
  </si>
  <si>
    <t>381025</t>
  </si>
  <si>
    <t>Inter in (125) SHIP</t>
  </si>
  <si>
    <t>Inter to (001) General Fund</t>
  </si>
  <si>
    <t>(Transfer to General Fund for Program Administration)</t>
  </si>
  <si>
    <t>324810</t>
  </si>
  <si>
    <t>10321 - Fire Station #72</t>
  </si>
  <si>
    <t>10321</t>
  </si>
  <si>
    <t>31222</t>
  </si>
  <si>
    <t>11023 - Crane Creek Cart Barn Electrical Upgrades</t>
  </si>
  <si>
    <t>11023</t>
  </si>
  <si>
    <t>Inter In (001) GF ARPA</t>
  </si>
  <si>
    <t>14023 - Pipe Lining - Silver Palm Avenue to Crane Creek along FEC Railroad</t>
  </si>
  <si>
    <t>(Transfer ARPA to CIP#11823 Ballfield Lighting)</t>
  </si>
  <si>
    <t>(Transfer from CIP# 12120 &amp; CIP# 10023)</t>
  </si>
  <si>
    <t>68124 - Pavement Management Plan</t>
  </si>
  <si>
    <t>68124</t>
  </si>
  <si>
    <t>387021</t>
  </si>
  <si>
    <t>546990</t>
  </si>
  <si>
    <t>Infrastructure</t>
  </si>
  <si>
    <t>Intra in (368) LOGT</t>
  </si>
  <si>
    <t>10724 - Playground Replacement-Tradewinds, Ruffner, Crane, Oxford</t>
  </si>
  <si>
    <t>10724</t>
  </si>
  <si>
    <t>10720 - Fleet Fuel Site Expansion</t>
  </si>
  <si>
    <t>31319</t>
  </si>
  <si>
    <t>10720</t>
  </si>
  <si>
    <t>313810</t>
  </si>
  <si>
    <t>10723 - Ballard Restroom Replacement - ARPA</t>
  </si>
  <si>
    <t>10723</t>
  </si>
  <si>
    <t>10824 - Melbourne Cemetery Columbarium</t>
  </si>
  <si>
    <t>10824</t>
  </si>
  <si>
    <t>387029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</si>
</sst>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0&quot;_);_(@_)"/>
    <numFmt numFmtId="165" formatCode="_(* #,##0_);_(* \(#,##0\);_(* &quot;-&quot;??_);_(@_)"/>
  </numFmts>
  <fonts count="29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.5"/>
      <name val="Arial"/>
      <family val="2"/>
    </font>
    <font>
      <b/>
      <sz val="10.5"/>
      <name val="Arial"/>
      <family val="2"/>
    </font>
    <font>
      <b/>
      <i/>
      <sz val="10.5"/>
      <name val="Arial"/>
      <family val="2"/>
    </font>
    <font>
      <b/>
      <u/>
      <sz val="10.5"/>
      <name val="Arial"/>
      <family val="2"/>
    </font>
    <font>
      <i/>
      <sz val="10.5"/>
      <name val="Arial"/>
      <family val="2"/>
    </font>
    <font>
      <u/>
      <sz val="10.5"/>
      <name val="Arial"/>
      <family val="2"/>
    </font>
    <font>
      <b/>
      <i/>
      <u/>
      <sz val="10.5"/>
      <name val="Arial"/>
      <family val="2"/>
    </font>
    <font>
      <sz val="10.5"/>
      <color rgb="FF00000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2"/>
      <color rgb="FF000000"/>
      <name val="Aptos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4" applyNumberFormat="0" applyFill="0" applyAlignment="0" applyProtection="0"/>
    <xf numFmtId="0" fontId="4" fillId="0" borderId="5" applyNumberFormat="0" applyFill="0" applyAlignment="0" applyProtection="0"/>
    <xf numFmtId="0" fontId="5" fillId="0" borderId="6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7" applyNumberFormat="0" applyAlignment="0" applyProtection="0"/>
    <xf numFmtId="0" fontId="10" fillId="6" borderId="8" applyNumberFormat="0" applyAlignment="0" applyProtection="0"/>
    <xf numFmtId="0" fontId="11" fillId="6" borderId="7" applyNumberFormat="0" applyAlignment="0" applyProtection="0"/>
    <xf numFmtId="0" fontId="12" fillId="0" borderId="9" applyNumberFormat="0" applyFill="0" applyAlignment="0" applyProtection="0"/>
    <xf numFmtId="0" fontId="13" fillId="7" borderId="10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12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1" applyNumberFormat="0" applyFont="0" applyAlignment="0" applyProtection="0"/>
    <xf numFmtId="43" fontId="27" fillId="0" borderId="0" applyFont="0" applyFill="0" applyBorder="0" applyAlignment="0" applyProtection="0"/>
  </cellStyleXfs>
  <cellXfs count="52">
    <xf numFmtId="0" fontId="0" fillId="0" borderId="0" xfId="0"/>
    <xf numFmtId="49" fontId="18" fillId="0" borderId="0" xfId="0" applyNumberFormat="1" applyFont="1" applyFill="1" applyBorder="1" applyAlignment="1">
      <alignment horizontal="center" vertical="center"/>
    </xf>
    <xf numFmtId="49" fontId="19" fillId="0" borderId="0" xfId="0" applyNumberFormat="1" applyFont="1" applyFill="1" applyBorder="1" applyAlignment="1">
      <alignment horizontal="center" vertical="center"/>
    </xf>
    <xf numFmtId="0" fontId="18" fillId="0" borderId="0" xfId="0" applyFont="1" applyFill="1" applyAlignment="1">
      <alignment vertical="center"/>
    </xf>
    <xf numFmtId="164" fontId="19" fillId="0" borderId="2" xfId="0" applyNumberFormat="1" applyFont="1" applyFill="1" applyBorder="1" applyAlignment="1">
      <alignment vertical="center"/>
    </xf>
    <xf numFmtId="37" fontId="19" fillId="0" borderId="2" xfId="0" applyNumberFormat="1" applyFont="1" applyFill="1" applyBorder="1" applyAlignment="1">
      <alignment horizontal="center" vertical="center"/>
    </xf>
    <xf numFmtId="164" fontId="19" fillId="0" borderId="3" xfId="0" applyNumberFormat="1" applyFont="1" applyFill="1" applyBorder="1" applyAlignment="1">
      <alignment vertical="center"/>
    </xf>
    <xf numFmtId="37" fontId="19" fillId="0" borderId="3" xfId="0" applyNumberFormat="1" applyFont="1" applyFill="1" applyBorder="1" applyAlignment="1">
      <alignment horizontal="center" vertical="center"/>
    </xf>
    <xf numFmtId="37" fontId="19" fillId="0" borderId="0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vertical="center"/>
    </xf>
    <xf numFmtId="49" fontId="21" fillId="0" borderId="0" xfId="0" applyNumberFormat="1" applyFont="1" applyFill="1" applyAlignment="1">
      <alignment horizontal="left" vertical="center"/>
    </xf>
    <xf numFmtId="49" fontId="18" fillId="0" borderId="0" xfId="0" applyNumberFormat="1" applyFont="1" applyFill="1" applyAlignment="1">
      <alignment horizontal="center" vertical="center"/>
    </xf>
    <xf numFmtId="49" fontId="18" fillId="0" borderId="0" xfId="0" applyNumberFormat="1" applyFont="1" applyFill="1" applyAlignment="1">
      <alignment horizontal="left" vertical="center"/>
    </xf>
    <xf numFmtId="37" fontId="18" fillId="0" borderId="0" xfId="0" applyNumberFormat="1" applyFont="1" applyFill="1" applyAlignment="1">
      <alignment vertical="center"/>
    </xf>
    <xf numFmtId="0" fontId="18" fillId="0" borderId="0" xfId="0" applyFont="1" applyFill="1" applyAlignment="1">
      <alignment horizontal="center" vertical="center" wrapText="1"/>
    </xf>
    <xf numFmtId="0" fontId="19" fillId="0" borderId="0" xfId="0" applyFont="1" applyFill="1" applyAlignment="1">
      <alignment horizontal="right" vertical="center"/>
    </xf>
    <xf numFmtId="37" fontId="19" fillId="0" borderId="1" xfId="0" applyNumberFormat="1" applyFont="1" applyFill="1" applyBorder="1" applyAlignment="1">
      <alignment vertical="center"/>
    </xf>
    <xf numFmtId="49" fontId="19" fillId="0" borderId="0" xfId="0" applyNumberFormat="1" applyFont="1" applyFill="1" applyBorder="1" applyAlignment="1">
      <alignment vertical="center"/>
    </xf>
    <xf numFmtId="37" fontId="18" fillId="0" borderId="3" xfId="0" applyNumberFormat="1" applyFont="1" applyFill="1" applyBorder="1" applyAlignment="1">
      <alignment vertical="center"/>
    </xf>
    <xf numFmtId="49" fontId="19" fillId="0" borderId="0" xfId="0" applyNumberFormat="1" applyFont="1" applyFill="1" applyAlignment="1">
      <alignment horizontal="left" vertical="center"/>
    </xf>
    <xf numFmtId="37" fontId="19" fillId="0" borderId="0" xfId="0" applyNumberFormat="1" applyFont="1" applyFill="1" applyBorder="1" applyAlignment="1">
      <alignment vertical="center"/>
    </xf>
    <xf numFmtId="37" fontId="18" fillId="0" borderId="0" xfId="0" applyNumberFormat="1" applyFont="1" applyFill="1" applyBorder="1" applyAlignment="1">
      <alignment vertical="center"/>
    </xf>
    <xf numFmtId="49" fontId="18" fillId="0" borderId="0" xfId="0" applyNumberFormat="1" applyFont="1" applyFill="1" applyBorder="1" applyAlignment="1">
      <alignment horizontal="left" vertical="center"/>
    </xf>
    <xf numFmtId="49" fontId="19" fillId="0" borderId="0" xfId="0" applyNumberFormat="1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right" vertical="center"/>
    </xf>
    <xf numFmtId="37" fontId="18" fillId="0" borderId="0" xfId="0" applyNumberFormat="1" applyFont="1" applyFill="1" applyBorder="1" applyAlignment="1">
      <alignment horizontal="right" vertical="center"/>
    </xf>
    <xf numFmtId="165" fontId="18" fillId="0" borderId="0" xfId="0" applyNumberFormat="1" applyFont="1" applyFill="1" applyAlignment="1">
      <alignment vertical="center"/>
    </xf>
    <xf numFmtId="49" fontId="20" fillId="0" borderId="0" xfId="0" applyNumberFormat="1" applyFont="1" applyFill="1" applyAlignment="1">
      <alignment horizontal="left" vertical="center"/>
    </xf>
    <xf numFmtId="0" fontId="18" fillId="0" borderId="0" xfId="0" applyFont="1" applyFill="1" applyAlignment="1">
      <alignment horizontal="center" vertical="center"/>
    </xf>
    <xf numFmtId="49" fontId="19" fillId="0" borderId="0" xfId="0" applyNumberFormat="1" applyFont="1" applyFill="1" applyAlignment="1">
      <alignment horizontal="right" vertical="center"/>
    </xf>
    <xf numFmtId="49" fontId="19" fillId="0" borderId="2" xfId="0" applyNumberFormat="1" applyFont="1" applyFill="1" applyBorder="1" applyAlignment="1">
      <alignment vertical="center"/>
    </xf>
    <xf numFmtId="49" fontId="19" fillId="0" borderId="3" xfId="0" applyNumberFormat="1" applyFont="1" applyFill="1" applyBorder="1" applyAlignment="1">
      <alignment vertical="center"/>
    </xf>
    <xf numFmtId="49" fontId="23" fillId="0" borderId="0" xfId="0" applyNumberFormat="1" applyFont="1" applyFill="1" applyAlignment="1">
      <alignment horizontal="left" vertical="center"/>
    </xf>
    <xf numFmtId="49" fontId="23" fillId="0" borderId="0" xfId="0" applyNumberFormat="1" applyFont="1" applyFill="1" applyBorder="1" applyAlignment="1">
      <alignment horizontal="left" vertical="center"/>
    </xf>
    <xf numFmtId="0" fontId="18" fillId="0" borderId="0" xfId="0" applyFont="1" applyFill="1" applyAlignment="1">
      <alignment horizontal="right" vertical="center"/>
    </xf>
    <xf numFmtId="0" fontId="18" fillId="0" borderId="0" xfId="0" applyFont="1" applyFill="1" applyBorder="1" applyAlignment="1">
      <alignment horizontal="right" vertical="center"/>
    </xf>
    <xf numFmtId="0" fontId="18" fillId="0" borderId="0" xfId="0" applyFont="1" applyFill="1" applyBorder="1" applyAlignment="1">
      <alignment horizontal="left" vertical="center"/>
    </xf>
    <xf numFmtId="49" fontId="22" fillId="0" borderId="0" xfId="0" applyNumberFormat="1" applyFont="1" applyFill="1" applyAlignment="1">
      <alignment horizontal="left" vertical="center"/>
    </xf>
    <xf numFmtId="0" fontId="19" fillId="0" borderId="2" xfId="0" applyNumberFormat="1" applyFont="1" applyFill="1" applyBorder="1" applyAlignment="1">
      <alignment horizontal="left" vertical="center"/>
    </xf>
    <xf numFmtId="49" fontId="24" fillId="0" borderId="0" xfId="0" applyNumberFormat="1" applyFont="1" applyFill="1" applyAlignment="1">
      <alignment horizontal="left" vertical="center"/>
    </xf>
    <xf numFmtId="14" fontId="18" fillId="0" borderId="0" xfId="0" applyNumberFormat="1" applyFont="1" applyFill="1" applyAlignment="1">
      <alignment vertical="center"/>
    </xf>
    <xf numFmtId="0" fontId="18" fillId="0" borderId="0" xfId="0" applyNumberFormat="1" applyFont="1" applyFill="1" applyAlignment="1">
      <alignment horizontal="center" vertical="center"/>
    </xf>
    <xf numFmtId="164" fontId="19" fillId="0" borderId="0" xfId="0" applyNumberFormat="1" applyFont="1" applyFill="1" applyBorder="1" applyAlignment="1">
      <alignment vertical="center"/>
    </xf>
    <xf numFmtId="165" fontId="18" fillId="0" borderId="0" xfId="44" applyNumberFormat="1" applyFont="1" applyFill="1" applyAlignment="1">
      <alignment vertical="center"/>
    </xf>
    <xf numFmtId="0" fontId="18" fillId="0" borderId="0" xfId="0" applyFont="1" applyFill="1" applyBorder="1" applyAlignment="1">
      <alignment horizontal="center" vertical="center" wrapText="1"/>
    </xf>
    <xf numFmtId="49" fontId="20" fillId="0" borderId="0" xfId="0" applyNumberFormat="1" applyFont="1" applyFill="1" applyBorder="1" applyAlignment="1">
      <alignment horizontal="left" vertical="center"/>
    </xf>
    <xf numFmtId="0" fontId="25" fillId="0" borderId="0" xfId="0" quotePrefix="1" applyNumberFormat="1" applyFont="1" applyFill="1" applyBorder="1" applyAlignment="1">
      <alignment horizontal="center" vertical="top"/>
    </xf>
    <xf numFmtId="0" fontId="19" fillId="0" borderId="0" xfId="0" applyFont="1" applyFill="1" applyBorder="1" applyAlignment="1">
      <alignment vertical="center"/>
    </xf>
    <xf numFmtId="0" fontId="28" fillId="0" borderId="0" xfId="0" applyFont="1" applyFill="1"/>
    <xf numFmtId="0" fontId="28" fillId="0" borderId="0" xfId="0" applyFont="1" applyFill="1" applyAlignment="1">
      <alignment vertical="center"/>
    </xf>
    <xf numFmtId="0" fontId="22" fillId="0" borderId="0" xfId="0" applyFont="1" applyFill="1" applyAlignment="1">
      <alignment horizontal="left" vertical="center"/>
    </xf>
  </cellXfs>
  <cellStyles count="45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4" builtinId="3"/>
    <cellStyle name="Comma 2" xfId="42" xr:uid="{00000000-0005-0000-0000-00001B000000}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 xr:uid="{00000000-0005-0000-0000-000026000000}"/>
    <cellStyle name="Note 2" xfId="43" xr:uid="{00000000-0005-0000-0000-000027000000}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62"/>
  <sheetViews>
    <sheetView tabSelected="1" view="pageBreakPreview" topLeftCell="A55" zoomScale="150" zoomScaleNormal="100" zoomScaleSheetLayoutView="150" workbookViewId="0">
      <selection activeCell="G69" sqref="G69"/>
    </sheetView>
  </sheetViews>
  <sheetFormatPr defaultColWidth="9.140625" defaultRowHeight="15.95" customHeight="1"/>
  <cols>
    <col min="1" max="1" width="13.5703125" style="12" customWidth="1"/>
    <col min="2" max="2" width="9.28515625" style="12" customWidth="1"/>
    <col min="3" max="3" width="7.5703125" style="13" customWidth="1"/>
    <col min="4" max="4" width="41" style="3" customWidth="1"/>
    <col min="5" max="5" width="13.85546875" style="14" bestFit="1" customWidth="1"/>
    <col min="6" max="6" width="12" style="14" bestFit="1" customWidth="1"/>
    <col min="7" max="7" width="17.140625" style="3" customWidth="1"/>
    <col min="8" max="8" width="15.28515625" style="3" bestFit="1" customWidth="1"/>
    <col min="9" max="9" width="14.5703125" style="3" bestFit="1" customWidth="1"/>
    <col min="10" max="10" width="9.140625" style="3"/>
    <col min="11" max="11" width="12.28515625" style="3" bestFit="1" customWidth="1"/>
    <col min="12" max="12" width="9.140625" style="3"/>
    <col min="13" max="15" width="14.7109375" style="3" bestFit="1" customWidth="1"/>
    <col min="16" max="16384" width="9.140625" style="3"/>
  </cols>
  <sheetData>
    <row r="1" spans="1:7" ht="15.95" customHeight="1">
      <c r="A1" s="1"/>
      <c r="B1" s="48"/>
      <c r="C1" s="48"/>
      <c r="D1" s="2" t="s">
        <v>6</v>
      </c>
      <c r="E1" s="48"/>
      <c r="F1" s="48"/>
    </row>
    <row r="3" spans="1:7" ht="15.75" customHeight="1">
      <c r="A3" s="39" t="s">
        <v>4</v>
      </c>
      <c r="B3" s="4"/>
      <c r="C3" s="4"/>
      <c r="D3" s="4"/>
      <c r="E3" s="5" t="s">
        <v>0</v>
      </c>
      <c r="F3" s="5" t="s">
        <v>1</v>
      </c>
    </row>
    <row r="4" spans="1:7" ht="15.75" customHeight="1">
      <c r="A4" s="6"/>
      <c r="B4" s="6"/>
      <c r="C4" s="6"/>
      <c r="D4" s="6"/>
      <c r="E4" s="7" t="s">
        <v>2</v>
      </c>
      <c r="F4" s="7" t="s">
        <v>3</v>
      </c>
    </row>
    <row r="5" spans="1:7" ht="15.75" customHeight="1">
      <c r="A5" s="43"/>
      <c r="B5" s="43"/>
      <c r="C5" s="43"/>
      <c r="D5" s="43"/>
      <c r="E5" s="8"/>
      <c r="F5" s="8"/>
    </row>
    <row r="6" spans="1:7" ht="15.95" customHeight="1">
      <c r="A6" s="20" t="s">
        <v>178</v>
      </c>
      <c r="B6" s="29"/>
      <c r="C6" s="20"/>
      <c r="D6" s="35"/>
      <c r="F6" s="3"/>
      <c r="G6" s="13"/>
    </row>
    <row r="7" spans="1:7" ht="15.95" customHeight="1">
      <c r="A7" s="33" t="s">
        <v>7</v>
      </c>
      <c r="B7" s="29"/>
      <c r="C7" s="20"/>
      <c r="D7" s="35"/>
      <c r="F7" s="3"/>
      <c r="G7" s="13"/>
    </row>
    <row r="8" spans="1:7" ht="15.95" customHeight="1">
      <c r="A8" s="12" t="s">
        <v>179</v>
      </c>
      <c r="B8" s="12" t="s">
        <v>180</v>
      </c>
      <c r="D8" s="3" t="s">
        <v>181</v>
      </c>
      <c r="E8" s="22">
        <v>78823.05</v>
      </c>
      <c r="F8" s="14">
        <f>37281+E8</f>
        <v>116104.05</v>
      </c>
    </row>
    <row r="9" spans="1:7" ht="15.95" customHeight="1">
      <c r="D9" s="36" t="s">
        <v>5</v>
      </c>
      <c r="E9" s="22">
        <f>E8</f>
        <v>78823.05</v>
      </c>
    </row>
    <row r="10" spans="1:7" s="10" customFormat="1" ht="15.95" customHeight="1">
      <c r="A10" s="34" t="s">
        <v>8</v>
      </c>
      <c r="B10" s="1"/>
      <c r="C10" s="45"/>
      <c r="E10" s="22"/>
      <c r="F10" s="22"/>
      <c r="G10" s="23"/>
    </row>
    <row r="11" spans="1:7" s="10" customFormat="1" ht="15.95" customHeight="1">
      <c r="A11" s="9">
        <v>90100519</v>
      </c>
      <c r="B11" s="9">
        <v>590310</v>
      </c>
      <c r="C11" s="23"/>
      <c r="D11" s="10" t="s">
        <v>145</v>
      </c>
      <c r="E11" s="19">
        <v>78823</v>
      </c>
      <c r="F11" s="22">
        <v>120822</v>
      </c>
      <c r="G11" s="23"/>
    </row>
    <row r="12" spans="1:7" s="10" customFormat="1" ht="15.95" customHeight="1">
      <c r="A12" s="46"/>
      <c r="B12" s="9"/>
      <c r="C12" s="24"/>
      <c r="D12" s="36" t="s">
        <v>5</v>
      </c>
      <c r="E12" s="22">
        <f>E11</f>
        <v>78823</v>
      </c>
      <c r="G12" s="23"/>
    </row>
    <row r="13" spans="1:7" ht="15.95" customHeight="1">
      <c r="A13" s="20" t="s">
        <v>143</v>
      </c>
      <c r="B13" s="29"/>
      <c r="C13" s="20"/>
      <c r="D13" s="35"/>
      <c r="F13" s="3"/>
      <c r="G13" s="13"/>
    </row>
    <row r="14" spans="1:7" ht="15.95" customHeight="1">
      <c r="A14" s="38" t="s">
        <v>144</v>
      </c>
      <c r="B14" s="29"/>
      <c r="C14" s="20"/>
      <c r="D14" s="35"/>
      <c r="F14" s="3"/>
      <c r="G14" s="13"/>
    </row>
    <row r="15" spans="1:7" ht="9" customHeight="1">
      <c r="A15" s="38"/>
      <c r="B15" s="29"/>
      <c r="C15" s="20"/>
      <c r="D15" s="35"/>
      <c r="F15" s="3"/>
      <c r="G15" s="13"/>
    </row>
    <row r="16" spans="1:7" ht="15.95" customHeight="1">
      <c r="A16" s="33" t="s">
        <v>7</v>
      </c>
      <c r="G16" s="13"/>
    </row>
    <row r="17" spans="1:7" ht="15.95" customHeight="1">
      <c r="A17" s="29">
        <v>9013640</v>
      </c>
      <c r="B17" s="29">
        <v>364003</v>
      </c>
      <c r="C17" s="15"/>
      <c r="D17" s="3" t="s">
        <v>162</v>
      </c>
      <c r="E17" s="14">
        <v>13520</v>
      </c>
      <c r="F17" s="14">
        <f>0+E17</f>
        <v>13520</v>
      </c>
      <c r="G17" s="13"/>
    </row>
    <row r="18" spans="1:7" ht="15.95" customHeight="1">
      <c r="A18" s="29">
        <v>4203692</v>
      </c>
      <c r="B18" s="29">
        <v>369301</v>
      </c>
      <c r="C18" s="15"/>
      <c r="D18" s="3" t="s">
        <v>163</v>
      </c>
      <c r="E18" s="19">
        <v>16116</v>
      </c>
      <c r="F18" s="14">
        <v>16116</v>
      </c>
      <c r="G18" s="13"/>
    </row>
    <row r="19" spans="1:7" ht="15.95" customHeight="1">
      <c r="C19" s="15"/>
      <c r="D19" s="35" t="s">
        <v>5</v>
      </c>
      <c r="E19" s="14">
        <f>SUBTOTAL(9,E17:E18)</f>
        <v>29636</v>
      </c>
      <c r="G19" s="13"/>
    </row>
    <row r="20" spans="1:7" ht="15.95" customHeight="1">
      <c r="A20" s="33" t="s">
        <v>8</v>
      </c>
      <c r="C20" s="15"/>
      <c r="G20" s="13"/>
    </row>
    <row r="21" spans="1:7" ht="15.95" customHeight="1">
      <c r="A21" s="29">
        <v>42000521</v>
      </c>
      <c r="B21" s="29">
        <v>564005</v>
      </c>
      <c r="D21" s="3" t="s">
        <v>164</v>
      </c>
      <c r="E21" s="19">
        <v>29636</v>
      </c>
      <c r="F21" s="14">
        <f>1390710+E21</f>
        <v>1420346</v>
      </c>
      <c r="G21" s="13"/>
    </row>
    <row r="22" spans="1:7" ht="10.5" customHeight="1">
      <c r="A22" s="28"/>
      <c r="B22" s="29"/>
      <c r="C22" s="20"/>
      <c r="D22" s="35" t="s">
        <v>5</v>
      </c>
      <c r="E22" s="14">
        <f>E21</f>
        <v>29636</v>
      </c>
      <c r="F22" s="3"/>
      <c r="G22" s="13"/>
    </row>
    <row r="23" spans="1:7" ht="15.75" customHeight="1">
      <c r="A23" s="20" t="s">
        <v>52</v>
      </c>
      <c r="B23" s="29"/>
      <c r="C23" s="20"/>
      <c r="D23" s="35"/>
      <c r="E23" s="22"/>
      <c r="F23" s="3"/>
      <c r="G23" s="27"/>
    </row>
    <row r="24" spans="1:7" ht="15.75" customHeight="1">
      <c r="A24" s="38" t="s">
        <v>53</v>
      </c>
      <c r="B24" s="29"/>
      <c r="C24" s="20"/>
      <c r="D24" s="35"/>
      <c r="E24" s="22"/>
      <c r="F24" s="3"/>
      <c r="G24" s="27"/>
    </row>
    <row r="25" spans="1:7" ht="9.75" customHeight="1">
      <c r="A25" s="38"/>
      <c r="B25" s="29"/>
      <c r="C25" s="20"/>
      <c r="D25" s="35"/>
      <c r="E25" s="22"/>
      <c r="F25" s="3"/>
      <c r="G25" s="27"/>
    </row>
    <row r="26" spans="1:7" ht="15.75" customHeight="1">
      <c r="A26" s="34" t="s">
        <v>8</v>
      </c>
      <c r="C26" s="15"/>
      <c r="E26" s="22"/>
      <c r="G26" s="27"/>
    </row>
    <row r="27" spans="1:7" ht="15.75" customHeight="1">
      <c r="A27" s="29">
        <v>90100519</v>
      </c>
      <c r="B27" s="12">
        <v>590310</v>
      </c>
      <c r="C27" s="15"/>
      <c r="D27" s="3" t="s">
        <v>145</v>
      </c>
      <c r="E27" s="22">
        <v>-45000</v>
      </c>
      <c r="F27" s="14">
        <f>86999+E27</f>
        <v>41999</v>
      </c>
      <c r="G27" s="27"/>
    </row>
    <row r="28" spans="1:7" ht="15.75" customHeight="1">
      <c r="A28" s="29">
        <v>12000513</v>
      </c>
      <c r="B28" s="29">
        <v>533020</v>
      </c>
      <c r="D28" s="3" t="s">
        <v>54</v>
      </c>
      <c r="E28" s="22">
        <v>25000</v>
      </c>
      <c r="F28" s="14">
        <f>0+E28</f>
        <v>25000</v>
      </c>
      <c r="G28" s="41"/>
    </row>
    <row r="29" spans="1:7" ht="15.75" customHeight="1">
      <c r="A29" s="29">
        <v>12000513</v>
      </c>
      <c r="B29" s="29">
        <v>533080</v>
      </c>
      <c r="D29" s="3" t="s">
        <v>55</v>
      </c>
      <c r="E29" s="19">
        <v>20000</v>
      </c>
      <c r="F29" s="14">
        <f>0+E29</f>
        <v>20000</v>
      </c>
      <c r="G29" s="41"/>
    </row>
    <row r="30" spans="1:7" ht="15.75" customHeight="1">
      <c r="A30" s="28"/>
      <c r="B30" s="29"/>
      <c r="C30" s="20"/>
      <c r="D30" s="35" t="s">
        <v>5</v>
      </c>
      <c r="E30" s="22">
        <f>SUBTOTAL(9,E28:E29)</f>
        <v>45000</v>
      </c>
      <c r="F30" s="3"/>
      <c r="G30" s="27"/>
    </row>
    <row r="31" spans="1:7" ht="15.75" customHeight="1">
      <c r="A31" s="20" t="s">
        <v>46</v>
      </c>
      <c r="B31" s="29"/>
      <c r="C31" s="20"/>
      <c r="D31" s="35"/>
      <c r="E31" s="22"/>
      <c r="F31" s="3"/>
      <c r="G31" s="27"/>
    </row>
    <row r="32" spans="1:7" ht="15.75" customHeight="1">
      <c r="A32" s="38" t="s">
        <v>39</v>
      </c>
      <c r="B32" s="29"/>
      <c r="C32" s="20"/>
      <c r="D32" s="35"/>
      <c r="E32" s="22"/>
      <c r="F32" s="3"/>
      <c r="G32" s="27"/>
    </row>
    <row r="33" spans="1:7" ht="7.5" customHeight="1">
      <c r="A33" s="38"/>
      <c r="B33" s="29"/>
      <c r="C33" s="20"/>
      <c r="D33" s="35"/>
      <c r="E33" s="22"/>
      <c r="F33" s="3"/>
      <c r="G33" s="27"/>
    </row>
    <row r="34" spans="1:7" ht="15.75" customHeight="1">
      <c r="A34" s="33" t="s">
        <v>7</v>
      </c>
      <c r="G34" s="27"/>
    </row>
    <row r="35" spans="1:7" ht="15.75" customHeight="1">
      <c r="A35" s="29">
        <v>3713472</v>
      </c>
      <c r="B35" s="29">
        <v>347240</v>
      </c>
      <c r="C35" s="15"/>
      <c r="D35" s="3" t="s">
        <v>40</v>
      </c>
      <c r="E35" s="22">
        <v>22894</v>
      </c>
      <c r="F35" s="14">
        <v>60894</v>
      </c>
      <c r="G35" s="27"/>
    </row>
    <row r="36" spans="1:7" ht="15.75" customHeight="1">
      <c r="A36" s="29">
        <v>3713472</v>
      </c>
      <c r="B36" s="29">
        <v>347241</v>
      </c>
      <c r="C36" s="15"/>
      <c r="D36" s="3" t="s">
        <v>165</v>
      </c>
      <c r="E36" s="22">
        <v>31768</v>
      </c>
      <c r="F36" s="14">
        <v>371768</v>
      </c>
      <c r="G36" s="27"/>
    </row>
    <row r="37" spans="1:7" ht="15.75" customHeight="1">
      <c r="A37" s="29">
        <v>3713472</v>
      </c>
      <c r="B37" s="29">
        <v>347265</v>
      </c>
      <c r="C37" s="15"/>
      <c r="D37" s="3" t="s">
        <v>166</v>
      </c>
      <c r="E37" s="22">
        <v>7737</v>
      </c>
      <c r="F37" s="14">
        <v>297738</v>
      </c>
      <c r="G37" s="27"/>
    </row>
    <row r="38" spans="1:7" ht="15.75" customHeight="1">
      <c r="A38" s="29">
        <v>3713472</v>
      </c>
      <c r="B38" s="29">
        <v>347266</v>
      </c>
      <c r="C38" s="15"/>
      <c r="D38" s="3" t="s">
        <v>45</v>
      </c>
      <c r="E38" s="22">
        <v>446</v>
      </c>
      <c r="F38" s="14">
        <f>1000+E38</f>
        <v>1446</v>
      </c>
      <c r="G38" s="27"/>
    </row>
    <row r="39" spans="1:7" ht="15.75" customHeight="1">
      <c r="A39" s="29">
        <v>3713472</v>
      </c>
      <c r="B39" s="29">
        <v>347268</v>
      </c>
      <c r="C39" s="15"/>
      <c r="D39" s="3" t="s">
        <v>41</v>
      </c>
      <c r="E39" s="22">
        <v>2420</v>
      </c>
      <c r="F39" s="14">
        <f>4500+E39</f>
        <v>6920</v>
      </c>
      <c r="G39" s="27"/>
    </row>
    <row r="40" spans="1:7" ht="15.75" customHeight="1">
      <c r="A40" s="29">
        <v>3713472</v>
      </c>
      <c r="B40" s="29">
        <v>347275</v>
      </c>
      <c r="C40" s="15"/>
      <c r="D40" s="3" t="s">
        <v>167</v>
      </c>
      <c r="E40" s="19">
        <v>1319</v>
      </c>
      <c r="F40" s="14">
        <f>4500+E40</f>
        <v>5819</v>
      </c>
      <c r="G40" s="27"/>
    </row>
    <row r="41" spans="1:7" ht="15.75" customHeight="1">
      <c r="C41" s="15"/>
      <c r="D41" s="35" t="s">
        <v>5</v>
      </c>
      <c r="E41" s="22">
        <f>SUBTOTAL(9,E35:E40)</f>
        <v>66584</v>
      </c>
      <c r="G41" s="27"/>
    </row>
    <row r="42" spans="1:7" ht="15.75" customHeight="1">
      <c r="A42" s="34" t="s">
        <v>8</v>
      </c>
      <c r="C42" s="15"/>
      <c r="E42" s="22"/>
      <c r="G42" s="27"/>
    </row>
    <row r="43" spans="1:7" ht="15.75" customHeight="1">
      <c r="A43" s="1" t="s">
        <v>150</v>
      </c>
      <c r="B43" s="12" t="s">
        <v>151</v>
      </c>
      <c r="C43" s="15"/>
      <c r="D43" s="3" t="s">
        <v>107</v>
      </c>
      <c r="E43" s="22">
        <v>-43416</v>
      </c>
      <c r="F43" s="14">
        <f>3439430-E43</f>
        <v>3482846</v>
      </c>
      <c r="G43" s="27"/>
    </row>
    <row r="44" spans="1:7" ht="15.75" customHeight="1">
      <c r="A44" s="29">
        <v>37100572</v>
      </c>
      <c r="B44" s="29">
        <v>514000</v>
      </c>
      <c r="D44" s="3" t="s">
        <v>42</v>
      </c>
      <c r="E44" s="22">
        <v>2000</v>
      </c>
      <c r="F44" s="14">
        <f>5000+E44</f>
        <v>7000</v>
      </c>
      <c r="G44" s="27"/>
    </row>
    <row r="45" spans="1:7" ht="15.75" customHeight="1">
      <c r="A45" s="29">
        <v>37100572</v>
      </c>
      <c r="B45" s="29">
        <v>534040</v>
      </c>
      <c r="D45" s="3" t="s">
        <v>20</v>
      </c>
      <c r="E45" s="22">
        <v>90000</v>
      </c>
      <c r="F45" s="14">
        <f>99520+E45</f>
        <v>189520</v>
      </c>
      <c r="G45" s="27"/>
    </row>
    <row r="46" spans="1:7" ht="15.75" customHeight="1">
      <c r="A46" s="29">
        <v>37100572</v>
      </c>
      <c r="B46" s="29">
        <v>541050</v>
      </c>
      <c r="D46" s="3" t="s">
        <v>43</v>
      </c>
      <c r="E46" s="22">
        <v>13000</v>
      </c>
      <c r="F46" s="14">
        <f>20000+E46</f>
        <v>33000</v>
      </c>
      <c r="G46" s="27"/>
    </row>
    <row r="47" spans="1:7" ht="15.75" customHeight="1">
      <c r="A47" s="29">
        <v>37100572</v>
      </c>
      <c r="B47" s="29">
        <v>552000</v>
      </c>
      <c r="D47" s="3" t="s">
        <v>44</v>
      </c>
      <c r="E47" s="19">
        <v>5000</v>
      </c>
      <c r="F47" s="14">
        <f>15000+E47</f>
        <v>20000</v>
      </c>
      <c r="G47" s="27"/>
    </row>
    <row r="48" spans="1:7" ht="15.75" customHeight="1">
      <c r="A48" s="28"/>
      <c r="B48" s="29"/>
      <c r="C48" s="20"/>
      <c r="D48" s="35" t="s">
        <v>5</v>
      </c>
      <c r="E48" s="22">
        <f>SUBTOTAL(9,E43:E47)</f>
        <v>66584</v>
      </c>
      <c r="F48" s="3"/>
      <c r="G48" s="27"/>
    </row>
    <row r="49" spans="1:15" ht="13.5">
      <c r="A49" s="20" t="s">
        <v>47</v>
      </c>
      <c r="B49" s="29"/>
      <c r="C49" s="20"/>
      <c r="D49" s="35"/>
      <c r="E49" s="22"/>
      <c r="F49" s="3"/>
      <c r="G49" s="27"/>
      <c r="J49" s="38"/>
      <c r="K49" s="29"/>
      <c r="L49" s="20"/>
      <c r="M49" s="35"/>
      <c r="N49" s="22"/>
    </row>
    <row r="50" spans="1:15" ht="13.5">
      <c r="A50" s="38" t="s">
        <v>39</v>
      </c>
      <c r="B50" s="29"/>
      <c r="C50" s="20"/>
      <c r="D50" s="35"/>
      <c r="E50" s="22"/>
      <c r="F50" s="3"/>
      <c r="G50" s="27"/>
      <c r="J50" s="28"/>
      <c r="K50" s="29"/>
      <c r="L50" s="20"/>
      <c r="M50" s="35"/>
      <c r="N50" s="22"/>
    </row>
    <row r="51" spans="1:15" ht="13.5">
      <c r="A51" s="38"/>
      <c r="B51" s="29"/>
      <c r="C51" s="20"/>
      <c r="D51" s="35"/>
      <c r="E51" s="22"/>
      <c r="F51" s="3"/>
      <c r="G51" s="27"/>
      <c r="J51" s="34"/>
      <c r="K51" s="12"/>
      <c r="L51" s="13"/>
      <c r="N51" s="14"/>
      <c r="O51" s="14"/>
    </row>
    <row r="52" spans="1:15" ht="13.5">
      <c r="A52" s="33" t="s">
        <v>7</v>
      </c>
      <c r="G52" s="27"/>
      <c r="J52" s="29"/>
      <c r="K52" s="29"/>
      <c r="L52" s="15"/>
      <c r="N52" s="22"/>
      <c r="O52" s="14"/>
    </row>
    <row r="53" spans="1:15" ht="15.75" customHeight="1">
      <c r="A53" s="29">
        <v>3723472</v>
      </c>
      <c r="B53" s="29">
        <v>347230</v>
      </c>
      <c r="C53" s="15"/>
      <c r="D53" s="3" t="s">
        <v>50</v>
      </c>
      <c r="E53" s="22">
        <v>2050</v>
      </c>
      <c r="F53" s="14">
        <f>13000+E53</f>
        <v>15050</v>
      </c>
      <c r="G53" s="27"/>
      <c r="J53" s="29"/>
      <c r="K53" s="29"/>
      <c r="L53" s="13"/>
      <c r="N53" s="19"/>
      <c r="O53" s="14"/>
    </row>
    <row r="54" spans="1:15" ht="15.75" customHeight="1">
      <c r="A54" s="29">
        <v>3723472</v>
      </c>
      <c r="B54" s="29">
        <v>347232</v>
      </c>
      <c r="C54" s="15"/>
      <c r="D54" s="3" t="s">
        <v>51</v>
      </c>
      <c r="E54" s="19">
        <v>4000</v>
      </c>
      <c r="F54" s="14">
        <f>28000+E54</f>
        <v>32000</v>
      </c>
      <c r="G54" s="41"/>
      <c r="J54" s="12"/>
      <c r="K54" s="12"/>
      <c r="L54" s="15"/>
      <c r="M54" s="35"/>
      <c r="N54" s="22"/>
      <c r="O54" s="14"/>
    </row>
    <row r="55" spans="1:15" ht="15.75" customHeight="1">
      <c r="C55" s="15"/>
      <c r="D55" s="35" t="s">
        <v>5</v>
      </c>
      <c r="E55" s="22">
        <f>SUBTOTAL(9,E53:E54)</f>
        <v>6050</v>
      </c>
      <c r="G55" s="41"/>
    </row>
    <row r="56" spans="1:15" ht="15.75" customHeight="1">
      <c r="A56" s="34" t="s">
        <v>8</v>
      </c>
      <c r="C56" s="15"/>
      <c r="E56" s="22"/>
      <c r="G56" s="27"/>
    </row>
    <row r="57" spans="1:15" ht="15.95" customHeight="1">
      <c r="A57" s="29">
        <v>37200572</v>
      </c>
      <c r="B57" s="29">
        <v>552260</v>
      </c>
      <c r="D57" s="3" t="s">
        <v>48</v>
      </c>
      <c r="E57" s="22">
        <v>2050</v>
      </c>
      <c r="F57" s="14">
        <f>10000+E57</f>
        <v>12050</v>
      </c>
      <c r="G57" s="30"/>
    </row>
    <row r="58" spans="1:15" ht="15.95" customHeight="1">
      <c r="A58" s="29">
        <v>37200572</v>
      </c>
      <c r="B58" s="29">
        <v>552280</v>
      </c>
      <c r="D58" s="3" t="s">
        <v>49</v>
      </c>
      <c r="E58" s="19">
        <v>4000</v>
      </c>
      <c r="F58" s="14">
        <f>15000+E58</f>
        <v>19000</v>
      </c>
      <c r="G58" s="27"/>
    </row>
    <row r="59" spans="1:15" ht="15.95" customHeight="1">
      <c r="A59" s="28"/>
      <c r="B59" s="29"/>
      <c r="C59" s="20"/>
      <c r="D59" s="35" t="s">
        <v>5</v>
      </c>
      <c r="E59" s="22">
        <f>SUBTOTAL(9,E57:E58)</f>
        <v>6050</v>
      </c>
      <c r="F59" s="3"/>
      <c r="G59" s="13"/>
    </row>
    <row r="60" spans="1:15" ht="15.95" customHeight="1">
      <c r="A60" s="20" t="s">
        <v>173</v>
      </c>
      <c r="B60" s="29"/>
      <c r="C60" s="20"/>
      <c r="D60" s="35"/>
      <c r="E60" s="22"/>
      <c r="F60" s="3"/>
      <c r="G60" s="13"/>
    </row>
    <row r="61" spans="1:15" ht="15.95" customHeight="1">
      <c r="A61" s="51" t="s">
        <v>21</v>
      </c>
      <c r="C61" s="3"/>
      <c r="D61" s="16"/>
      <c r="E61" s="21"/>
    </row>
    <row r="62" spans="1:15" ht="15.95" customHeight="1">
      <c r="A62" s="34" t="s">
        <v>8</v>
      </c>
      <c r="C62" s="15"/>
      <c r="D62" s="35"/>
      <c r="E62" s="22"/>
    </row>
    <row r="63" spans="1:15" ht="15.95" customHeight="1">
      <c r="A63" s="42">
        <v>90100519</v>
      </c>
      <c r="B63" s="42">
        <v>512000</v>
      </c>
      <c r="D63" s="3" t="s">
        <v>107</v>
      </c>
      <c r="E63" s="22">
        <v>-170000</v>
      </c>
      <c r="F63" s="14">
        <f>3439430-170000</f>
        <v>3269430</v>
      </c>
    </row>
    <row r="64" spans="1:15" ht="15.95" customHeight="1">
      <c r="A64" s="51" t="s">
        <v>143</v>
      </c>
      <c r="C64" s="3"/>
      <c r="D64" s="16"/>
      <c r="E64" s="21"/>
    </row>
    <row r="65" spans="1:9" ht="15.95" customHeight="1">
      <c r="A65" s="29">
        <v>42000521</v>
      </c>
      <c r="B65" s="42">
        <v>552220</v>
      </c>
      <c r="D65" s="3" t="s">
        <v>174</v>
      </c>
      <c r="E65" s="22">
        <v>130000</v>
      </c>
      <c r="F65" s="14">
        <v>403847</v>
      </c>
    </row>
    <row r="66" spans="1:9" ht="15.95" customHeight="1">
      <c r="A66" s="51" t="s">
        <v>175</v>
      </c>
      <c r="C66" s="3"/>
      <c r="D66" s="16"/>
      <c r="E66" s="21"/>
    </row>
    <row r="67" spans="1:9" ht="15.95" customHeight="1">
      <c r="A67" s="29">
        <v>53000522</v>
      </c>
      <c r="B67" s="42">
        <v>564000</v>
      </c>
      <c r="D67" s="3" t="s">
        <v>15</v>
      </c>
      <c r="E67" s="19">
        <v>40000</v>
      </c>
      <c r="F67" s="14">
        <f>852014+E67</f>
        <v>892014</v>
      </c>
    </row>
    <row r="68" spans="1:9" ht="15.95" customHeight="1">
      <c r="C68" s="15"/>
      <c r="D68" s="35" t="s">
        <v>5</v>
      </c>
      <c r="E68" s="22">
        <f>SUBTOTAL(9,E63:E67)</f>
        <v>0</v>
      </c>
    </row>
    <row r="69" spans="1:9" ht="15.95" customHeight="1">
      <c r="A69" s="20" t="s">
        <v>176</v>
      </c>
      <c r="B69" s="29"/>
      <c r="C69" s="20"/>
      <c r="D69" s="35"/>
      <c r="E69" s="22"/>
      <c r="F69" s="3"/>
      <c r="G69" s="13"/>
      <c r="I69" s="44"/>
    </row>
    <row r="70" spans="1:9" ht="15.95" customHeight="1">
      <c r="A70" s="51" t="s">
        <v>21</v>
      </c>
      <c r="C70" s="3"/>
      <c r="D70" s="16"/>
      <c r="E70" s="21"/>
      <c r="I70" s="44"/>
    </row>
    <row r="71" spans="1:9" ht="15.95" customHeight="1">
      <c r="A71" s="34" t="s">
        <v>8</v>
      </c>
      <c r="C71" s="15"/>
      <c r="D71" s="35"/>
      <c r="E71" s="22"/>
      <c r="I71" s="44"/>
    </row>
    <row r="72" spans="1:9" ht="15.95" customHeight="1">
      <c r="A72" s="42">
        <v>90100519</v>
      </c>
      <c r="B72" s="42">
        <v>512000</v>
      </c>
      <c r="D72" s="3" t="s">
        <v>107</v>
      </c>
      <c r="E72" s="22">
        <v>-3396014</v>
      </c>
      <c r="F72" s="14">
        <v>0</v>
      </c>
      <c r="I72" s="44"/>
    </row>
    <row r="73" spans="1:9" ht="15.95" customHeight="1">
      <c r="A73" s="42">
        <v>42000521</v>
      </c>
      <c r="B73" s="42">
        <v>512000</v>
      </c>
      <c r="D73" s="3" t="s">
        <v>107</v>
      </c>
      <c r="E73" s="22">
        <v>-672986</v>
      </c>
      <c r="F73" s="14">
        <f>10628002-672986</f>
        <v>9955016</v>
      </c>
      <c r="I73" s="44"/>
    </row>
    <row r="74" spans="1:9" ht="15.95" customHeight="1">
      <c r="A74" s="42">
        <v>90100581</v>
      </c>
      <c r="B74" s="42">
        <v>591070</v>
      </c>
      <c r="D74" s="3" t="s">
        <v>16</v>
      </c>
      <c r="E74" s="19">
        <f>1000000+914000+825000+280000+75000+30000+145000+300000+500000</f>
        <v>4069000</v>
      </c>
      <c r="F74" s="14">
        <f>+E74</f>
        <v>4069000</v>
      </c>
      <c r="I74" s="44"/>
    </row>
    <row r="75" spans="1:9" ht="15.95" customHeight="1">
      <c r="C75" s="15"/>
      <c r="D75" s="35" t="s">
        <v>5</v>
      </c>
      <c r="E75" s="22">
        <f>SUBTOTAL(9,E72:E74)</f>
        <v>0</v>
      </c>
      <c r="I75" s="44"/>
    </row>
    <row r="76" spans="1:9" ht="15.95" customHeight="1">
      <c r="C76" s="15"/>
      <c r="D76" s="35"/>
      <c r="E76" s="22"/>
      <c r="I76" s="44"/>
    </row>
    <row r="77" spans="1:9" ht="15.95" customHeight="1" thickBot="1">
      <c r="A77" s="24"/>
      <c r="B77" s="1"/>
      <c r="C77" s="23"/>
      <c r="D77" s="25" t="s">
        <v>9</v>
      </c>
      <c r="E77" s="17">
        <f>E55+E41+E19</f>
        <v>102270</v>
      </c>
      <c r="F77" s="26"/>
      <c r="I77" s="44"/>
    </row>
    <row r="78" spans="1:9" ht="15.95" customHeight="1" thickTop="1">
      <c r="A78" s="3"/>
      <c r="C78" s="3"/>
      <c r="D78" s="30"/>
      <c r="E78" s="21"/>
      <c r="I78" s="44"/>
    </row>
    <row r="79" spans="1:9" ht="15.95" customHeight="1">
      <c r="A79" s="31" t="s">
        <v>28</v>
      </c>
      <c r="B79" s="31"/>
      <c r="C79" s="31"/>
      <c r="D79" s="31"/>
      <c r="E79" s="5" t="s">
        <v>0</v>
      </c>
      <c r="F79" s="5" t="s">
        <v>1</v>
      </c>
    </row>
    <row r="80" spans="1:9" ht="15.95" customHeight="1">
      <c r="A80" s="32"/>
      <c r="B80" s="32"/>
      <c r="C80" s="32"/>
      <c r="D80" s="32"/>
      <c r="E80" s="7" t="s">
        <v>2</v>
      </c>
      <c r="F80" s="7" t="s">
        <v>3</v>
      </c>
    </row>
    <row r="81" spans="1:6" ht="15.95" customHeight="1">
      <c r="A81" s="38" t="s">
        <v>183</v>
      </c>
      <c r="B81" s="29"/>
      <c r="C81" s="3"/>
      <c r="F81" s="3"/>
    </row>
    <row r="82" spans="1:6" ht="15.95" customHeight="1">
      <c r="A82" s="34" t="s">
        <v>8</v>
      </c>
      <c r="C82" s="15"/>
      <c r="E82" s="22"/>
      <c r="F82" s="22"/>
    </row>
    <row r="83" spans="1:6" ht="15.95" customHeight="1">
      <c r="A83" s="12" t="s">
        <v>31</v>
      </c>
      <c r="B83" s="12" t="s">
        <v>32</v>
      </c>
      <c r="C83" s="15"/>
      <c r="D83" s="3" t="s">
        <v>34</v>
      </c>
      <c r="E83" s="22">
        <v>-78823.05</v>
      </c>
      <c r="F83" s="22">
        <f>1001472+E83</f>
        <v>922648.95</v>
      </c>
    </row>
    <row r="84" spans="1:6" ht="15.95" customHeight="1">
      <c r="A84" s="12" t="s">
        <v>29</v>
      </c>
      <c r="B84" s="12" t="s">
        <v>30</v>
      </c>
      <c r="D84" s="3" t="s">
        <v>182</v>
      </c>
      <c r="E84" s="19">
        <v>78823.05</v>
      </c>
      <c r="F84" s="14">
        <f>37281+E84</f>
        <v>116104.05</v>
      </c>
    </row>
    <row r="85" spans="1:6" ht="15.95" customHeight="1">
      <c r="A85" s="38"/>
      <c r="B85" s="29"/>
      <c r="D85" s="35" t="s">
        <v>5</v>
      </c>
      <c r="E85" s="22">
        <f>SUBTOTAL(9,E83:E83)</f>
        <v>-78823.05</v>
      </c>
      <c r="F85" s="3"/>
    </row>
    <row r="86" spans="1:6" ht="15.95" customHeight="1">
      <c r="A86" s="38" t="s">
        <v>152</v>
      </c>
      <c r="B86" s="29"/>
      <c r="C86" s="3"/>
      <c r="F86" s="3"/>
    </row>
    <row r="87" spans="1:6" ht="15.95" customHeight="1">
      <c r="A87" s="33" t="s">
        <v>7</v>
      </c>
    </row>
    <row r="88" spans="1:6" ht="15.95" customHeight="1">
      <c r="A88" s="12" t="s">
        <v>36</v>
      </c>
      <c r="B88" s="12" t="s">
        <v>35</v>
      </c>
      <c r="D88" s="3" t="s">
        <v>37</v>
      </c>
      <c r="E88" s="19">
        <v>8436</v>
      </c>
      <c r="F88" s="14">
        <f>0+E88</f>
        <v>8436</v>
      </c>
    </row>
    <row r="89" spans="1:6" ht="15.95" customHeight="1">
      <c r="D89" s="35" t="s">
        <v>5</v>
      </c>
      <c r="E89" s="22">
        <f>SUBTOTAL(9,E88:E88)</f>
        <v>8436</v>
      </c>
      <c r="F89" s="22"/>
    </row>
    <row r="90" spans="1:6" ht="15.95" customHeight="1">
      <c r="A90" s="34" t="s">
        <v>8</v>
      </c>
      <c r="C90" s="15"/>
      <c r="E90" s="22"/>
      <c r="F90" s="22"/>
    </row>
    <row r="91" spans="1:6" ht="15.95" customHeight="1">
      <c r="A91" s="12" t="s">
        <v>29</v>
      </c>
      <c r="B91" s="12" t="s">
        <v>30</v>
      </c>
      <c r="C91" s="15"/>
      <c r="D91" s="3" t="s">
        <v>33</v>
      </c>
      <c r="E91" s="22">
        <v>421.76</v>
      </c>
      <c r="F91" s="22">
        <f>F84+E91</f>
        <v>116525.81</v>
      </c>
    </row>
    <row r="92" spans="1:6" ht="15.95" customHeight="1">
      <c r="A92" s="12" t="s">
        <v>31</v>
      </c>
      <c r="B92" s="12" t="s">
        <v>32</v>
      </c>
      <c r="C92" s="15"/>
      <c r="D92" s="3" t="s">
        <v>34</v>
      </c>
      <c r="E92" s="19">
        <v>8014</v>
      </c>
      <c r="F92" s="22">
        <f>F83+E92</f>
        <v>930662.95</v>
      </c>
    </row>
    <row r="93" spans="1:6" ht="15.95" customHeight="1">
      <c r="A93" s="38"/>
      <c r="B93" s="29"/>
      <c r="D93" s="35" t="s">
        <v>5</v>
      </c>
      <c r="E93" s="22">
        <f>SUBTOTAL(9,E91:E92)</f>
        <v>8435.76</v>
      </c>
      <c r="F93" s="3"/>
    </row>
    <row r="94" spans="1:6" ht="15.95" customHeight="1">
      <c r="A94" s="38"/>
      <c r="B94" s="29"/>
      <c r="D94" s="35"/>
      <c r="E94" s="22"/>
      <c r="F94" s="3"/>
    </row>
    <row r="95" spans="1:6" ht="15.95" customHeight="1" thickBot="1">
      <c r="A95" s="24"/>
      <c r="B95" s="1"/>
      <c r="C95" s="23"/>
      <c r="D95" s="25" t="s">
        <v>38</v>
      </c>
      <c r="E95" s="17">
        <f>E93</f>
        <v>8435.76</v>
      </c>
      <c r="F95" s="26"/>
    </row>
    <row r="96" spans="1:6" ht="15.95" customHeight="1" thickTop="1">
      <c r="A96" s="31" t="s">
        <v>56</v>
      </c>
      <c r="B96" s="31"/>
      <c r="C96" s="31"/>
      <c r="D96" s="31"/>
      <c r="E96" s="5" t="s">
        <v>0</v>
      </c>
      <c r="F96" s="5" t="s">
        <v>1</v>
      </c>
    </row>
    <row r="97" spans="1:6" ht="15.95" customHeight="1">
      <c r="A97" s="32"/>
      <c r="B97" s="32"/>
      <c r="C97" s="32"/>
      <c r="D97" s="32"/>
      <c r="E97" s="7" t="s">
        <v>2</v>
      </c>
      <c r="F97" s="7" t="s">
        <v>3</v>
      </c>
    </row>
    <row r="98" spans="1:6" ht="15.95" customHeight="1">
      <c r="A98" s="40"/>
      <c r="B98" s="29"/>
      <c r="C98" s="3"/>
      <c r="F98" s="3"/>
    </row>
    <row r="99" spans="1:6" ht="15.95" customHeight="1">
      <c r="A99" s="38" t="s">
        <v>60</v>
      </c>
      <c r="B99" s="29"/>
      <c r="C99" s="3"/>
      <c r="F99" s="3"/>
    </row>
    <row r="100" spans="1:6" ht="15.95" customHeight="1">
      <c r="A100" s="38"/>
      <c r="B100" s="29"/>
      <c r="C100" s="3"/>
      <c r="F100" s="3"/>
    </row>
    <row r="101" spans="1:6" ht="15.95" customHeight="1">
      <c r="A101" s="33" t="s">
        <v>7</v>
      </c>
    </row>
    <row r="102" spans="1:6" ht="15.95" customHeight="1">
      <c r="A102" s="12" t="s">
        <v>106</v>
      </c>
      <c r="B102" s="12" t="s">
        <v>73</v>
      </c>
      <c r="D102" s="3" t="s">
        <v>74</v>
      </c>
      <c r="E102" s="19">
        <v>-45000</v>
      </c>
      <c r="F102" s="14">
        <f>266474+E102</f>
        <v>221474</v>
      </c>
    </row>
    <row r="103" spans="1:6" ht="15.95" customHeight="1">
      <c r="D103" s="35" t="s">
        <v>5</v>
      </c>
      <c r="E103" s="22">
        <f>SUBTOTAL(9,E102:E102)</f>
        <v>-45000</v>
      </c>
      <c r="F103" s="22"/>
    </row>
    <row r="104" spans="1:6" ht="15.95" customHeight="1">
      <c r="A104" s="34" t="s">
        <v>8</v>
      </c>
      <c r="C104" s="15"/>
      <c r="E104" s="22"/>
      <c r="F104" s="22"/>
    </row>
    <row r="105" spans="1:6" ht="15.95" customHeight="1">
      <c r="A105" s="1" t="s">
        <v>57</v>
      </c>
      <c r="B105" s="12" t="s">
        <v>58</v>
      </c>
      <c r="C105" s="15"/>
      <c r="D105" s="3" t="s">
        <v>54</v>
      </c>
      <c r="E105" s="22">
        <v>-25000</v>
      </c>
      <c r="F105" s="22">
        <f>25000+E105</f>
        <v>0</v>
      </c>
    </row>
    <row r="106" spans="1:6" ht="15.95" customHeight="1">
      <c r="A106" s="12" t="s">
        <v>57</v>
      </c>
      <c r="B106" s="12" t="s">
        <v>59</v>
      </c>
      <c r="C106" s="15"/>
      <c r="D106" s="3" t="s">
        <v>55</v>
      </c>
      <c r="E106" s="19">
        <v>-20000</v>
      </c>
      <c r="F106" s="22">
        <f>20000+E106</f>
        <v>0</v>
      </c>
    </row>
    <row r="107" spans="1:6" ht="15.95" customHeight="1">
      <c r="A107" s="38"/>
      <c r="B107" s="29"/>
      <c r="D107" s="35" t="s">
        <v>5</v>
      </c>
      <c r="E107" s="22">
        <f>SUBTOTAL(9,E105:E106)</f>
        <v>-45000</v>
      </c>
      <c r="F107" s="3"/>
    </row>
    <row r="108" spans="1:6" ht="15.95" customHeight="1">
      <c r="A108" s="9"/>
      <c r="B108" s="1"/>
      <c r="C108" s="10"/>
      <c r="D108" s="24"/>
      <c r="E108" s="21"/>
      <c r="F108" s="22"/>
    </row>
    <row r="109" spans="1:6" ht="15.95" customHeight="1">
      <c r="A109" s="31" t="s">
        <v>18</v>
      </c>
      <c r="B109" s="31"/>
      <c r="C109" s="31"/>
      <c r="D109" s="31"/>
      <c r="E109" s="5" t="s">
        <v>0</v>
      </c>
      <c r="F109" s="5" t="s">
        <v>1</v>
      </c>
    </row>
    <row r="110" spans="1:6" ht="15.95" customHeight="1">
      <c r="A110" s="32"/>
      <c r="B110" s="32"/>
      <c r="C110" s="32"/>
      <c r="D110" s="32"/>
      <c r="E110" s="7" t="s">
        <v>2</v>
      </c>
      <c r="F110" s="7" t="s">
        <v>3</v>
      </c>
    </row>
    <row r="111" spans="1:6" ht="15.95" customHeight="1">
      <c r="A111" s="40"/>
      <c r="B111" s="29"/>
      <c r="C111" s="3"/>
      <c r="F111" s="3"/>
    </row>
    <row r="112" spans="1:6" ht="15.95" customHeight="1">
      <c r="A112" s="38" t="s">
        <v>39</v>
      </c>
      <c r="B112" s="29"/>
      <c r="C112" s="3"/>
      <c r="F112" s="3"/>
    </row>
    <row r="113" spans="1:6" ht="15.95" customHeight="1">
      <c r="A113" s="33" t="s">
        <v>7</v>
      </c>
    </row>
    <row r="114" spans="1:6" ht="15.95" customHeight="1">
      <c r="A114" s="12" t="s">
        <v>72</v>
      </c>
      <c r="B114" s="12" t="s">
        <v>73</v>
      </c>
      <c r="D114" s="3" t="s">
        <v>74</v>
      </c>
      <c r="E114" s="19">
        <v>2177000</v>
      </c>
      <c r="F114" s="14">
        <f>175000+E114</f>
        <v>2352000</v>
      </c>
    </row>
    <row r="115" spans="1:6" ht="15.95" customHeight="1">
      <c r="D115" s="35" t="s">
        <v>5</v>
      </c>
      <c r="E115" s="22">
        <f>SUBTOTAL(9,E114:E114)</f>
        <v>2177000</v>
      </c>
      <c r="F115" s="22"/>
    </row>
    <row r="116" spans="1:6" ht="15.95" customHeight="1">
      <c r="A116" s="34" t="s">
        <v>8</v>
      </c>
      <c r="C116" s="15"/>
      <c r="E116" s="22"/>
      <c r="F116" s="22"/>
    </row>
    <row r="117" spans="1:6" ht="15.95" customHeight="1">
      <c r="A117" s="12" t="s">
        <v>146</v>
      </c>
      <c r="B117" s="12" t="s">
        <v>147</v>
      </c>
      <c r="C117" s="15"/>
      <c r="D117" s="3" t="s">
        <v>42</v>
      </c>
      <c r="E117" s="22">
        <v>200000</v>
      </c>
      <c r="F117" s="22">
        <v>280000</v>
      </c>
    </row>
    <row r="118" spans="1:6" ht="15.95" customHeight="1">
      <c r="A118" s="12" t="s">
        <v>146</v>
      </c>
      <c r="B118" s="12" t="s">
        <v>148</v>
      </c>
      <c r="C118" s="15"/>
      <c r="D118" s="3" t="s">
        <v>149</v>
      </c>
      <c r="E118" s="22">
        <v>1700000</v>
      </c>
      <c r="F118" s="22">
        <v>4090000</v>
      </c>
    </row>
    <row r="119" spans="1:6" ht="15.95" customHeight="1">
      <c r="A119" s="12" t="s">
        <v>94</v>
      </c>
      <c r="B119" s="12" t="s">
        <v>95</v>
      </c>
      <c r="C119" s="15"/>
      <c r="D119" s="3" t="s">
        <v>96</v>
      </c>
      <c r="E119" s="19">
        <v>277000</v>
      </c>
      <c r="F119" s="22">
        <f>4285000+E119</f>
        <v>4562000</v>
      </c>
    </row>
    <row r="120" spans="1:6" ht="15.95" customHeight="1">
      <c r="A120" s="38"/>
      <c r="B120" s="29"/>
      <c r="D120" s="35" t="s">
        <v>5</v>
      </c>
      <c r="E120" s="22">
        <f>SUBTOTAL(9,E117:E119)</f>
        <v>2177000</v>
      </c>
      <c r="F120" s="3"/>
    </row>
    <row r="121" spans="1:6" ht="15.95" customHeight="1">
      <c r="A121" s="38"/>
      <c r="B121" s="29"/>
      <c r="D121" s="35"/>
      <c r="E121" s="22"/>
      <c r="F121" s="3"/>
    </row>
    <row r="122" spans="1:6" ht="15.95" customHeight="1" thickBot="1">
      <c r="A122" s="24"/>
      <c r="B122" s="1"/>
      <c r="C122" s="23"/>
      <c r="D122" s="25" t="s">
        <v>19</v>
      </c>
      <c r="E122" s="17">
        <f>E120</f>
        <v>2177000</v>
      </c>
      <c r="F122" s="26"/>
    </row>
    <row r="123" spans="1:6" ht="15.95" customHeight="1" thickTop="1"/>
    <row r="124" spans="1:6" ht="15.95" customHeight="1">
      <c r="A124" s="9"/>
      <c r="B124" s="1"/>
      <c r="C124" s="10"/>
      <c r="D124" s="24"/>
      <c r="E124" s="21"/>
      <c r="F124" s="22"/>
    </row>
    <row r="125" spans="1:6" ht="15.95" customHeight="1">
      <c r="A125" s="31" t="s">
        <v>10</v>
      </c>
      <c r="B125" s="31"/>
      <c r="C125" s="31"/>
      <c r="D125" s="31"/>
      <c r="E125" s="5" t="s">
        <v>0</v>
      </c>
      <c r="F125" s="5" t="s">
        <v>1</v>
      </c>
    </row>
    <row r="126" spans="1:6" ht="15.95" customHeight="1">
      <c r="A126" s="32"/>
      <c r="B126" s="32"/>
      <c r="C126" s="32"/>
      <c r="D126" s="32"/>
      <c r="E126" s="7" t="s">
        <v>2</v>
      </c>
      <c r="F126" s="7" t="s">
        <v>3</v>
      </c>
    </row>
    <row r="127" spans="1:6" ht="15.95" customHeight="1">
      <c r="A127" s="18"/>
      <c r="B127" s="18"/>
      <c r="C127" s="18"/>
      <c r="D127" s="18"/>
      <c r="E127" s="8"/>
      <c r="F127" s="8"/>
    </row>
    <row r="128" spans="1:6" ht="15.95" customHeight="1">
      <c r="A128" s="28" t="s">
        <v>12</v>
      </c>
      <c r="D128" s="16"/>
      <c r="E128" s="21"/>
    </row>
    <row r="129" spans="1:6" ht="15.95" customHeight="1">
      <c r="A129" s="28"/>
      <c r="D129" s="16"/>
      <c r="E129" s="21"/>
    </row>
    <row r="130" spans="1:6" ht="15.95" customHeight="1">
      <c r="A130" s="11" t="s">
        <v>97</v>
      </c>
      <c r="D130" s="16"/>
      <c r="E130" s="21"/>
    </row>
    <row r="131" spans="1:6" ht="15.95" customHeight="1">
      <c r="A131" s="13"/>
      <c r="D131" s="16"/>
      <c r="E131" s="21"/>
    </row>
    <row r="132" spans="1:6" ht="15.95" customHeight="1">
      <c r="A132" s="34" t="s">
        <v>7</v>
      </c>
      <c r="D132" s="16"/>
      <c r="E132" s="21"/>
    </row>
    <row r="133" spans="1:6" ht="15.95" customHeight="1">
      <c r="A133" s="1" t="s">
        <v>98</v>
      </c>
      <c r="B133" s="12" t="s">
        <v>99</v>
      </c>
      <c r="C133" s="12" t="s">
        <v>100</v>
      </c>
      <c r="D133" s="37" t="s">
        <v>101</v>
      </c>
      <c r="E133" s="22">
        <v>1185573</v>
      </c>
      <c r="F133" s="14">
        <v>1185573</v>
      </c>
    </row>
    <row r="134" spans="1:6" ht="15.95" customHeight="1">
      <c r="A134" s="1" t="s">
        <v>119</v>
      </c>
      <c r="B134" s="12" t="s">
        <v>14</v>
      </c>
      <c r="C134" s="12" t="s">
        <v>100</v>
      </c>
      <c r="D134" s="37" t="s">
        <v>170</v>
      </c>
      <c r="E134" s="22">
        <v>500000</v>
      </c>
      <c r="F134" s="14">
        <v>7344884</v>
      </c>
    </row>
    <row r="135" spans="1:6" ht="15.95" customHeight="1">
      <c r="A135" s="10"/>
      <c r="B135" s="3"/>
      <c r="C135" s="3"/>
      <c r="D135" s="36" t="s">
        <v>5</v>
      </c>
      <c r="E135" s="22">
        <f>SUBTOTAL(9,E133)</f>
        <v>1185573</v>
      </c>
    </row>
    <row r="136" spans="1:6" ht="15.95" customHeight="1">
      <c r="A136" s="34" t="s">
        <v>11</v>
      </c>
      <c r="D136" s="10"/>
      <c r="E136" s="22"/>
    </row>
    <row r="137" spans="1:6" ht="15.95" customHeight="1">
      <c r="A137" s="1" t="s">
        <v>102</v>
      </c>
      <c r="B137" s="12" t="s">
        <v>103</v>
      </c>
      <c r="C137" s="12" t="s">
        <v>100</v>
      </c>
      <c r="D137" s="37" t="s">
        <v>104</v>
      </c>
      <c r="E137" s="19">
        <v>1185573</v>
      </c>
      <c r="F137" s="14">
        <f>35872896+E137</f>
        <v>37058469</v>
      </c>
    </row>
    <row r="138" spans="1:6" ht="15.95" customHeight="1">
      <c r="A138" s="1"/>
      <c r="C138" s="12"/>
      <c r="D138" s="36" t="s">
        <v>5</v>
      </c>
      <c r="E138" s="22">
        <f>SUBTOTAL(9,E137)</f>
        <v>1185573</v>
      </c>
    </row>
    <row r="139" spans="1:6" ht="15.95" customHeight="1">
      <c r="A139" s="11" t="s">
        <v>108</v>
      </c>
      <c r="D139" s="16"/>
      <c r="E139" s="21"/>
    </row>
    <row r="140" spans="1:6" ht="15.95" customHeight="1">
      <c r="A140" s="13"/>
      <c r="D140" s="16"/>
      <c r="E140" s="21"/>
    </row>
    <row r="141" spans="1:6" ht="15.95" customHeight="1">
      <c r="A141" s="34" t="s">
        <v>7</v>
      </c>
      <c r="D141" s="16"/>
      <c r="E141" s="21"/>
    </row>
    <row r="142" spans="1:6" ht="15.95" customHeight="1">
      <c r="A142" s="12" t="s">
        <v>109</v>
      </c>
      <c r="B142" s="12" t="s">
        <v>110</v>
      </c>
      <c r="C142" s="12" t="s">
        <v>111</v>
      </c>
      <c r="D142" s="37" t="s">
        <v>112</v>
      </c>
      <c r="E142" s="22">
        <v>-900000</v>
      </c>
      <c r="F142" s="22">
        <v>-900000</v>
      </c>
    </row>
    <row r="143" spans="1:6" ht="15.95" customHeight="1">
      <c r="A143" s="12" t="s">
        <v>184</v>
      </c>
      <c r="B143" s="12" t="s">
        <v>14</v>
      </c>
      <c r="C143" s="12" t="s">
        <v>111</v>
      </c>
      <c r="D143" s="37" t="s">
        <v>17</v>
      </c>
      <c r="E143" s="19">
        <v>914000</v>
      </c>
      <c r="F143" s="14">
        <v>914000</v>
      </c>
    </row>
    <row r="144" spans="1:6" ht="15.95" customHeight="1">
      <c r="A144" s="3"/>
      <c r="B144" s="3"/>
      <c r="C144" s="3"/>
      <c r="D144" s="36" t="s">
        <v>5</v>
      </c>
      <c r="E144" s="22">
        <f>SUBTOTAL(9,E142:E143)</f>
        <v>14000</v>
      </c>
    </row>
    <row r="145" spans="1:6" ht="15.95" customHeight="1">
      <c r="A145" s="33" t="s">
        <v>11</v>
      </c>
      <c r="D145" s="10"/>
      <c r="E145" s="22"/>
    </row>
    <row r="146" spans="1:6" ht="15.95" customHeight="1">
      <c r="A146" s="12" t="s">
        <v>187</v>
      </c>
      <c r="B146" s="12" t="s">
        <v>116</v>
      </c>
      <c r="C146" s="12" t="s">
        <v>111</v>
      </c>
      <c r="D146" s="37" t="s">
        <v>15</v>
      </c>
      <c r="E146" s="19">
        <v>14000</v>
      </c>
      <c r="F146" s="14">
        <v>914000</v>
      </c>
    </row>
    <row r="147" spans="1:6" ht="15.95" customHeight="1">
      <c r="A147" s="29"/>
      <c r="B147" s="29"/>
      <c r="C147" s="29"/>
      <c r="D147" s="36" t="s">
        <v>5</v>
      </c>
      <c r="E147" s="22">
        <f>SUBTOTAL(9,E146:E146)</f>
        <v>14000</v>
      </c>
    </row>
    <row r="148" spans="1:6" ht="15.95" customHeight="1">
      <c r="A148" s="11" t="s">
        <v>185</v>
      </c>
      <c r="D148" s="16"/>
      <c r="E148" s="21"/>
    </row>
    <row r="149" spans="1:6" ht="15.95" customHeight="1">
      <c r="A149" s="13"/>
      <c r="D149" s="16"/>
      <c r="E149" s="21"/>
    </row>
    <row r="150" spans="1:6" ht="15.95" customHeight="1">
      <c r="A150" s="34" t="s">
        <v>7</v>
      </c>
      <c r="D150" s="16"/>
      <c r="E150" s="21"/>
    </row>
    <row r="151" spans="1:6" ht="15.95" customHeight="1">
      <c r="A151" s="12" t="s">
        <v>119</v>
      </c>
      <c r="B151" s="12" t="s">
        <v>14</v>
      </c>
      <c r="C151" s="12" t="s">
        <v>186</v>
      </c>
      <c r="D151" s="37" t="s">
        <v>17</v>
      </c>
      <c r="E151" s="19">
        <v>1000000</v>
      </c>
      <c r="F151" s="22">
        <v>5900000</v>
      </c>
    </row>
    <row r="152" spans="1:6" ht="15.95" customHeight="1">
      <c r="A152" s="3"/>
      <c r="B152" s="3"/>
      <c r="C152" s="3"/>
      <c r="D152" s="36" t="s">
        <v>5</v>
      </c>
      <c r="E152" s="22">
        <f>SUBTOTAL(9,E151)</f>
        <v>1000000</v>
      </c>
    </row>
    <row r="153" spans="1:6" ht="15.95" customHeight="1">
      <c r="A153" s="33" t="s">
        <v>11</v>
      </c>
      <c r="D153" s="10"/>
      <c r="E153" s="22"/>
    </row>
    <row r="154" spans="1:6" ht="15.95" customHeight="1">
      <c r="A154" s="12" t="s">
        <v>187</v>
      </c>
      <c r="B154" s="12" t="s">
        <v>103</v>
      </c>
      <c r="C154" s="12" t="s">
        <v>186</v>
      </c>
      <c r="D154" s="37" t="s">
        <v>104</v>
      </c>
      <c r="E154" s="19">
        <v>1000000</v>
      </c>
      <c r="F154" s="14">
        <v>5300000</v>
      </c>
    </row>
    <row r="155" spans="1:6" ht="15.95" customHeight="1">
      <c r="A155" s="29"/>
      <c r="B155" s="29"/>
      <c r="C155" s="29"/>
      <c r="D155" s="36" t="s">
        <v>5</v>
      </c>
      <c r="E155" s="22">
        <f>SUBTOTAL(9,E154)</f>
        <v>1000000</v>
      </c>
    </row>
    <row r="156" spans="1:6" ht="15.95" customHeight="1">
      <c r="A156" s="11" t="s">
        <v>64</v>
      </c>
      <c r="D156" s="16"/>
      <c r="E156" s="21"/>
    </row>
    <row r="157" spans="1:6" ht="15.95" customHeight="1">
      <c r="A157" s="13"/>
      <c r="D157" s="16"/>
      <c r="E157" s="21"/>
    </row>
    <row r="158" spans="1:6" ht="15.95" customHeight="1">
      <c r="A158" s="34" t="s">
        <v>7</v>
      </c>
      <c r="D158" s="16"/>
      <c r="E158" s="21"/>
    </row>
    <row r="159" spans="1:6" ht="15.95" customHeight="1">
      <c r="A159" s="12" t="s">
        <v>65</v>
      </c>
      <c r="B159" s="12" t="s">
        <v>66</v>
      </c>
      <c r="C159" s="12" t="s">
        <v>67</v>
      </c>
      <c r="D159" s="37" t="s">
        <v>68</v>
      </c>
      <c r="E159" s="22">
        <v>6200</v>
      </c>
      <c r="F159" s="14">
        <f>175000+E159</f>
        <v>181200</v>
      </c>
    </row>
    <row r="160" spans="1:6" ht="15.95" customHeight="1">
      <c r="A160" s="3"/>
      <c r="B160" s="3"/>
      <c r="C160" s="3"/>
      <c r="D160" s="36" t="s">
        <v>5</v>
      </c>
      <c r="E160" s="22">
        <f>SUBTOTAL(9,E159)</f>
        <v>6200</v>
      </c>
    </row>
    <row r="161" spans="1:6" ht="15.95" customHeight="1">
      <c r="A161" s="33" t="s">
        <v>11</v>
      </c>
      <c r="D161" s="10"/>
      <c r="E161" s="22"/>
    </row>
    <row r="162" spans="1:6" ht="15.95" customHeight="1">
      <c r="A162" s="12" t="s">
        <v>69</v>
      </c>
      <c r="B162" s="12" t="s">
        <v>70</v>
      </c>
      <c r="C162" s="12" t="s">
        <v>67</v>
      </c>
      <c r="D162" s="37" t="s">
        <v>171</v>
      </c>
      <c r="E162" s="19">
        <v>6200</v>
      </c>
      <c r="F162" s="14">
        <v>5211632</v>
      </c>
    </row>
    <row r="163" spans="1:6" ht="15.95" customHeight="1">
      <c r="A163" s="29"/>
      <c r="B163" s="29"/>
      <c r="C163" s="29"/>
      <c r="D163" s="36" t="s">
        <v>5</v>
      </c>
      <c r="E163" s="22">
        <f>SUBTOTAL(9,E162)</f>
        <v>6200</v>
      </c>
    </row>
    <row r="164" spans="1:6" ht="15.95" customHeight="1">
      <c r="A164" s="11" t="s">
        <v>188</v>
      </c>
      <c r="D164" s="16"/>
      <c r="E164" s="21"/>
    </row>
    <row r="165" spans="1:6" ht="15.95" customHeight="1">
      <c r="A165" s="13"/>
      <c r="D165" s="16"/>
      <c r="E165" s="21"/>
    </row>
    <row r="166" spans="1:6" ht="15.95" customHeight="1">
      <c r="A166" s="34" t="s">
        <v>7</v>
      </c>
      <c r="D166" s="16"/>
      <c r="E166" s="21"/>
    </row>
    <row r="167" spans="1:6" ht="15.95" customHeight="1">
      <c r="A167" s="12" t="s">
        <v>65</v>
      </c>
      <c r="B167" s="12" t="s">
        <v>120</v>
      </c>
      <c r="C167" s="12" t="s">
        <v>189</v>
      </c>
      <c r="D167" s="37" t="s">
        <v>190</v>
      </c>
      <c r="E167" s="22">
        <v>-25000</v>
      </c>
      <c r="F167" s="14">
        <v>0</v>
      </c>
    </row>
    <row r="168" spans="1:6" ht="15.95" customHeight="1">
      <c r="A168" s="12" t="s">
        <v>65</v>
      </c>
      <c r="B168" s="12" t="s">
        <v>14</v>
      </c>
      <c r="C168" s="12" t="s">
        <v>189</v>
      </c>
      <c r="D168" s="37" t="s">
        <v>17</v>
      </c>
      <c r="E168" s="19">
        <v>75000</v>
      </c>
      <c r="F168" s="14">
        <v>75000</v>
      </c>
    </row>
    <row r="169" spans="1:6" ht="15.95" customHeight="1">
      <c r="A169" s="3"/>
      <c r="B169" s="3"/>
      <c r="C169" s="3"/>
      <c r="D169" s="36" t="s">
        <v>5</v>
      </c>
      <c r="E169" s="22">
        <f>SUBTOTAL(9,E167:E168)</f>
        <v>50000</v>
      </c>
    </row>
    <row r="170" spans="1:6" ht="15.95" customHeight="1">
      <c r="A170" s="33" t="s">
        <v>11</v>
      </c>
      <c r="D170" s="10"/>
      <c r="E170" s="22"/>
    </row>
    <row r="171" spans="1:6" ht="15.95" customHeight="1">
      <c r="A171" s="12" t="s">
        <v>69</v>
      </c>
      <c r="B171" s="12" t="s">
        <v>155</v>
      </c>
      <c r="C171" s="12" t="s">
        <v>189</v>
      </c>
      <c r="D171" s="37" t="s">
        <v>156</v>
      </c>
      <c r="E171" s="19">
        <v>50000</v>
      </c>
      <c r="F171" s="14">
        <v>75000</v>
      </c>
    </row>
    <row r="172" spans="1:6" ht="15.95" customHeight="1">
      <c r="A172" s="29"/>
      <c r="B172" s="29"/>
      <c r="C172" s="29"/>
      <c r="D172" s="36" t="s">
        <v>5</v>
      </c>
      <c r="E172" s="22">
        <f>SUBTOTAL(9,E171)</f>
        <v>50000</v>
      </c>
    </row>
    <row r="173" spans="1:6" ht="15.95" customHeight="1">
      <c r="A173" s="11" t="s">
        <v>191</v>
      </c>
      <c r="D173" s="16"/>
      <c r="E173" s="21"/>
    </row>
    <row r="174" spans="1:6" ht="15.95" customHeight="1">
      <c r="A174" s="13" t="s">
        <v>128</v>
      </c>
      <c r="D174" s="16"/>
      <c r="E174" s="21"/>
    </row>
    <row r="175" spans="1:6" ht="15.95" customHeight="1">
      <c r="A175" s="34" t="s">
        <v>7</v>
      </c>
      <c r="D175" s="16"/>
      <c r="E175" s="21"/>
    </row>
    <row r="176" spans="1:6" ht="15.95" customHeight="1">
      <c r="A176" s="12" t="s">
        <v>133</v>
      </c>
      <c r="B176" s="12" t="s">
        <v>120</v>
      </c>
      <c r="C176" s="12" t="s">
        <v>129</v>
      </c>
      <c r="D176" s="37" t="s">
        <v>121</v>
      </c>
      <c r="E176" s="19">
        <v>-500000</v>
      </c>
      <c r="F176" s="14">
        <v>0</v>
      </c>
    </row>
    <row r="177" spans="1:6" ht="15.95" customHeight="1">
      <c r="A177" s="3"/>
      <c r="B177" s="3"/>
      <c r="C177" s="3"/>
      <c r="D177" s="36" t="s">
        <v>5</v>
      </c>
      <c r="E177" s="22">
        <f>SUBTOTAL(9,E176)</f>
        <v>-500000</v>
      </c>
    </row>
    <row r="178" spans="1:6" ht="15.95" customHeight="1">
      <c r="A178" s="33" t="s">
        <v>11</v>
      </c>
      <c r="D178" s="10"/>
      <c r="E178" s="22"/>
    </row>
    <row r="179" spans="1:6" ht="15.95" customHeight="1">
      <c r="A179" s="12" t="s">
        <v>130</v>
      </c>
      <c r="B179" s="12" t="s">
        <v>131</v>
      </c>
      <c r="C179" s="12" t="s">
        <v>129</v>
      </c>
      <c r="D179" s="37" t="s">
        <v>132</v>
      </c>
      <c r="E179" s="19">
        <v>-500000</v>
      </c>
      <c r="F179" s="14">
        <v>0</v>
      </c>
    </row>
    <row r="180" spans="1:6" ht="15.95" customHeight="1">
      <c r="A180" s="29"/>
      <c r="B180" s="29"/>
      <c r="C180" s="29"/>
      <c r="D180" s="36" t="s">
        <v>5</v>
      </c>
      <c r="E180" s="22">
        <f>SUBTOTAL(9,E179:E179)</f>
        <v>-500000</v>
      </c>
    </row>
    <row r="181" spans="1:6" ht="15.95" customHeight="1">
      <c r="A181" s="29"/>
      <c r="B181" s="29"/>
      <c r="C181" s="29"/>
      <c r="D181" s="36"/>
      <c r="E181" s="22"/>
    </row>
    <row r="182" spans="1:6" ht="15.95" customHeight="1">
      <c r="A182" s="11" t="s">
        <v>206</v>
      </c>
      <c r="D182" s="16"/>
      <c r="E182" s="21"/>
    </row>
    <row r="183" spans="1:6" ht="15.95" customHeight="1">
      <c r="A183" s="13"/>
      <c r="D183" s="16"/>
      <c r="E183" s="21"/>
    </row>
    <row r="184" spans="1:6" ht="15.95" customHeight="1">
      <c r="A184" s="34" t="s">
        <v>7</v>
      </c>
      <c r="D184" s="16"/>
      <c r="E184" s="21"/>
    </row>
    <row r="185" spans="1:6" ht="15.95" customHeight="1">
      <c r="A185" s="12" t="s">
        <v>65</v>
      </c>
      <c r="B185" s="12" t="s">
        <v>120</v>
      </c>
      <c r="C185" s="12" t="s">
        <v>207</v>
      </c>
      <c r="D185" s="37" t="s">
        <v>121</v>
      </c>
      <c r="E185" s="19">
        <v>225000</v>
      </c>
      <c r="F185" s="14">
        <v>352951</v>
      </c>
    </row>
    <row r="186" spans="1:6" ht="15.95" customHeight="1">
      <c r="A186" s="3"/>
      <c r="B186" s="3"/>
      <c r="C186" s="3"/>
      <c r="D186" s="36" t="s">
        <v>5</v>
      </c>
      <c r="E186" s="22">
        <f>SUBTOTAL(9,E185)</f>
        <v>225000</v>
      </c>
    </row>
    <row r="187" spans="1:6" ht="15.95" customHeight="1">
      <c r="A187" s="33" t="s">
        <v>11</v>
      </c>
      <c r="D187" s="10"/>
      <c r="E187" s="22"/>
    </row>
    <row r="188" spans="1:6" ht="15.95" customHeight="1">
      <c r="A188" s="12" t="s">
        <v>69</v>
      </c>
      <c r="B188" s="12" t="s">
        <v>103</v>
      </c>
      <c r="C188" s="12" t="s">
        <v>207</v>
      </c>
      <c r="D188" s="37" t="s">
        <v>104</v>
      </c>
      <c r="E188" s="22">
        <v>225000</v>
      </c>
      <c r="F188" s="14">
        <v>225000</v>
      </c>
    </row>
    <row r="189" spans="1:6" ht="15.95" customHeight="1">
      <c r="A189" s="29"/>
      <c r="B189" s="29"/>
      <c r="C189" s="29"/>
      <c r="D189" s="36" t="s">
        <v>5</v>
      </c>
      <c r="E189" s="22">
        <f>SUBTOTAL(9,E188:E188)</f>
        <v>225000</v>
      </c>
    </row>
    <row r="190" spans="1:6" ht="15.95" customHeight="1">
      <c r="A190" s="11" t="s">
        <v>134</v>
      </c>
      <c r="D190" s="16"/>
      <c r="E190" s="21"/>
    </row>
    <row r="191" spans="1:6" ht="15.95" customHeight="1">
      <c r="A191" s="13"/>
      <c r="D191" s="16"/>
      <c r="E191" s="21"/>
    </row>
    <row r="192" spans="1:6" ht="15.95" customHeight="1">
      <c r="A192" s="34" t="s">
        <v>7</v>
      </c>
      <c r="D192" s="16"/>
      <c r="E192" s="21"/>
    </row>
    <row r="193" spans="1:6" ht="15.95" customHeight="1">
      <c r="A193" s="12" t="s">
        <v>133</v>
      </c>
      <c r="B193" s="12" t="s">
        <v>120</v>
      </c>
      <c r="C193" s="12" t="s">
        <v>135</v>
      </c>
      <c r="D193" s="37" t="s">
        <v>121</v>
      </c>
      <c r="E193" s="19">
        <v>200000</v>
      </c>
    </row>
    <row r="194" spans="1:6" ht="15.95" customHeight="1">
      <c r="A194" s="3"/>
      <c r="B194" s="3"/>
      <c r="C194" s="3"/>
      <c r="D194" s="36" t="s">
        <v>5</v>
      </c>
      <c r="E194" s="22">
        <f>SUBTOTAL(9,E193)</f>
        <v>200000</v>
      </c>
    </row>
    <row r="195" spans="1:6" ht="15.95" customHeight="1">
      <c r="A195" s="33" t="s">
        <v>11</v>
      </c>
      <c r="D195" s="10"/>
      <c r="E195" s="22"/>
    </row>
    <row r="196" spans="1:6" ht="15.95" customHeight="1">
      <c r="A196" s="12" t="s">
        <v>130</v>
      </c>
      <c r="B196" s="12" t="s">
        <v>131</v>
      </c>
      <c r="C196" s="12" t="s">
        <v>135</v>
      </c>
      <c r="D196" s="37" t="s">
        <v>132</v>
      </c>
      <c r="E196" s="19">
        <v>200000</v>
      </c>
      <c r="F196" s="14">
        <f>100688+E196</f>
        <v>300688</v>
      </c>
    </row>
    <row r="197" spans="1:6" ht="15.95" customHeight="1">
      <c r="A197" s="29"/>
      <c r="B197" s="29"/>
      <c r="C197" s="29"/>
      <c r="D197" s="36" t="s">
        <v>5</v>
      </c>
      <c r="E197" s="22">
        <f>SUBTOTAL(9,E196:E196)</f>
        <v>200000</v>
      </c>
    </row>
    <row r="198" spans="1:6" ht="15.95" customHeight="1">
      <c r="A198" s="11" t="s">
        <v>113</v>
      </c>
      <c r="D198" s="16"/>
      <c r="E198" s="21"/>
    </row>
    <row r="199" spans="1:6" ht="15.95" customHeight="1">
      <c r="A199" s="13" t="s">
        <v>192</v>
      </c>
      <c r="D199" s="16"/>
      <c r="E199" s="21"/>
    </row>
    <row r="200" spans="1:6" ht="15.95" customHeight="1">
      <c r="A200" s="34" t="s">
        <v>7</v>
      </c>
      <c r="D200" s="16"/>
      <c r="E200" s="21"/>
    </row>
    <row r="201" spans="1:6" ht="15.95" customHeight="1">
      <c r="A201" s="12" t="s">
        <v>119</v>
      </c>
      <c r="B201" s="12" t="s">
        <v>120</v>
      </c>
      <c r="C201" s="12" t="s">
        <v>115</v>
      </c>
      <c r="D201" s="37" t="s">
        <v>121</v>
      </c>
      <c r="E201" s="19">
        <v>-440500</v>
      </c>
      <c r="F201" s="14">
        <v>0</v>
      </c>
    </row>
    <row r="202" spans="1:6" ht="15.95" customHeight="1">
      <c r="A202" s="3"/>
      <c r="B202" s="3"/>
      <c r="C202" s="3"/>
      <c r="D202" s="36" t="s">
        <v>5</v>
      </c>
      <c r="E202" s="22">
        <f>SUBTOTAL(9,E201:E201)</f>
        <v>-440500</v>
      </c>
    </row>
    <row r="203" spans="1:6" ht="15.95" customHeight="1">
      <c r="A203" s="33" t="s">
        <v>11</v>
      </c>
      <c r="D203" s="10"/>
      <c r="E203" s="22"/>
    </row>
    <row r="204" spans="1:6" ht="15.95" customHeight="1">
      <c r="A204" s="12" t="s">
        <v>114</v>
      </c>
      <c r="B204" s="12" t="s">
        <v>117</v>
      </c>
      <c r="C204" s="12" t="s">
        <v>115</v>
      </c>
      <c r="D204" s="37" t="s">
        <v>118</v>
      </c>
      <c r="E204" s="19">
        <v>-440500</v>
      </c>
      <c r="F204" s="14">
        <v>1463506</v>
      </c>
    </row>
    <row r="205" spans="1:6" ht="15.95" customHeight="1">
      <c r="A205" s="29"/>
      <c r="B205" s="29"/>
      <c r="C205" s="29"/>
      <c r="D205" s="36" t="s">
        <v>5</v>
      </c>
      <c r="E205" s="22">
        <f>SUBTOTAL(9,E204:E204)</f>
        <v>-440500</v>
      </c>
    </row>
    <row r="206" spans="1:6" ht="15.95" customHeight="1">
      <c r="A206" s="11" t="s">
        <v>124</v>
      </c>
      <c r="D206" s="16"/>
      <c r="E206" s="21"/>
    </row>
    <row r="207" spans="1:6" ht="15.95" customHeight="1">
      <c r="A207" s="13" t="s">
        <v>192</v>
      </c>
      <c r="D207" s="16"/>
      <c r="E207" s="21"/>
    </row>
    <row r="208" spans="1:6" ht="15.95" customHeight="1">
      <c r="A208" s="34" t="s">
        <v>7</v>
      </c>
      <c r="D208" s="16"/>
      <c r="E208" s="21"/>
    </row>
    <row r="209" spans="1:6" ht="15.95" customHeight="1">
      <c r="A209" s="12" t="s">
        <v>127</v>
      </c>
      <c r="B209" s="12" t="s">
        <v>120</v>
      </c>
      <c r="C209" s="12" t="s">
        <v>125</v>
      </c>
      <c r="D209" s="37" t="s">
        <v>121</v>
      </c>
      <c r="E209" s="19">
        <v>-21500</v>
      </c>
      <c r="F209" s="14">
        <v>0</v>
      </c>
    </row>
    <row r="210" spans="1:6" ht="15.95" customHeight="1">
      <c r="A210" s="3"/>
      <c r="B210" s="3"/>
      <c r="C210" s="3"/>
      <c r="D210" s="36" t="s">
        <v>5</v>
      </c>
      <c r="E210" s="22">
        <f>SUBTOTAL(9,E209:E209)</f>
        <v>-21500</v>
      </c>
    </row>
    <row r="211" spans="1:6" ht="15.95" customHeight="1">
      <c r="A211" s="33" t="s">
        <v>11</v>
      </c>
      <c r="D211" s="10"/>
      <c r="E211" s="22"/>
    </row>
    <row r="212" spans="1:6" ht="15.95" customHeight="1">
      <c r="A212" s="12" t="s">
        <v>126</v>
      </c>
      <c r="B212" s="12" t="s">
        <v>116</v>
      </c>
      <c r="C212" s="12" t="s">
        <v>125</v>
      </c>
      <c r="D212" s="37" t="s">
        <v>15</v>
      </c>
      <c r="E212" s="19">
        <v>-21500</v>
      </c>
      <c r="F212" s="14">
        <v>726598</v>
      </c>
    </row>
    <row r="213" spans="1:6" ht="15.95" customHeight="1">
      <c r="A213" s="29"/>
      <c r="B213" s="29"/>
      <c r="C213" s="29"/>
      <c r="D213" s="36" t="s">
        <v>5</v>
      </c>
      <c r="E213" s="22">
        <f>SUBTOTAL(9,E212:E212)</f>
        <v>-21500</v>
      </c>
    </row>
    <row r="214" spans="1:6" ht="15.95" customHeight="1">
      <c r="A214" s="11" t="s">
        <v>122</v>
      </c>
      <c r="D214" s="16"/>
      <c r="E214" s="21"/>
    </row>
    <row r="215" spans="1:6" ht="15.95" customHeight="1">
      <c r="A215" s="13" t="s">
        <v>193</v>
      </c>
      <c r="D215" s="16"/>
      <c r="E215" s="21"/>
    </row>
    <row r="216" spans="1:6" ht="15.95" customHeight="1">
      <c r="A216" s="34" t="s">
        <v>7</v>
      </c>
      <c r="E216" s="21"/>
    </row>
    <row r="217" spans="1:6" ht="15.95" customHeight="1">
      <c r="A217" s="12" t="s">
        <v>65</v>
      </c>
      <c r="B217" s="12" t="s">
        <v>120</v>
      </c>
      <c r="C217" s="12" t="s">
        <v>123</v>
      </c>
      <c r="D217" s="37" t="s">
        <v>121</v>
      </c>
      <c r="E217" s="19">
        <v>462000</v>
      </c>
      <c r="F217" s="14">
        <f>1879777+E217</f>
        <v>2341777</v>
      </c>
    </row>
    <row r="218" spans="1:6" ht="15.95" customHeight="1">
      <c r="A218" s="3"/>
      <c r="B218" s="3"/>
      <c r="C218" s="3"/>
      <c r="D218" s="36" t="s">
        <v>5</v>
      </c>
      <c r="E218" s="22">
        <f>SUBTOTAL(9,E217)</f>
        <v>462000</v>
      </c>
    </row>
    <row r="219" spans="1:6" ht="15.95" customHeight="1">
      <c r="A219" s="33" t="s">
        <v>11</v>
      </c>
      <c r="D219" s="10"/>
      <c r="E219" s="22"/>
    </row>
    <row r="220" spans="1:6" ht="15.95" customHeight="1">
      <c r="A220" s="12" t="s">
        <v>69</v>
      </c>
      <c r="B220" s="12" t="s">
        <v>70</v>
      </c>
      <c r="C220" s="12" t="s">
        <v>123</v>
      </c>
      <c r="D220" s="37" t="s">
        <v>71</v>
      </c>
      <c r="E220" s="19">
        <v>462000</v>
      </c>
      <c r="F220" s="14">
        <f>1879777+E220</f>
        <v>2341777</v>
      </c>
    </row>
    <row r="221" spans="1:6" ht="15.95" customHeight="1">
      <c r="A221" s="29"/>
      <c r="B221" s="29"/>
      <c r="C221" s="29"/>
      <c r="D221" s="36" t="s">
        <v>5</v>
      </c>
      <c r="E221" s="22">
        <f>SUBTOTAL(9,E220:E220)</f>
        <v>462000</v>
      </c>
    </row>
    <row r="222" spans="1:6" ht="15.95" customHeight="1">
      <c r="A222" s="11" t="s">
        <v>194</v>
      </c>
      <c r="D222" s="16"/>
      <c r="E222" s="21"/>
    </row>
    <row r="223" spans="1:6" ht="15.95" customHeight="1">
      <c r="A223" s="13" t="s">
        <v>193</v>
      </c>
      <c r="D223" s="16"/>
      <c r="E223" s="21"/>
    </row>
    <row r="224" spans="1:6" ht="15.95" customHeight="1">
      <c r="A224" s="34" t="s">
        <v>7</v>
      </c>
      <c r="E224" s="21"/>
    </row>
    <row r="225" spans="1:7" ht="15.95" customHeight="1">
      <c r="A225" s="12" t="s">
        <v>23</v>
      </c>
      <c r="B225" s="12" t="s">
        <v>196</v>
      </c>
      <c r="C225" s="12" t="s">
        <v>195</v>
      </c>
      <c r="D225" s="37" t="s">
        <v>199</v>
      </c>
      <c r="E225" s="19">
        <v>100000</v>
      </c>
      <c r="F225" s="14">
        <v>100000</v>
      </c>
      <c r="G225" s="49"/>
    </row>
    <row r="226" spans="1:7" ht="15.95" customHeight="1">
      <c r="A226" s="3"/>
      <c r="B226" s="3"/>
      <c r="C226" s="3"/>
      <c r="D226" s="36" t="s">
        <v>5</v>
      </c>
      <c r="E226" s="22">
        <f>SUBTOTAL(9,E225)</f>
        <v>100000</v>
      </c>
    </row>
    <row r="227" spans="1:7" ht="15.95" customHeight="1">
      <c r="A227" s="33" t="s">
        <v>11</v>
      </c>
      <c r="D227" s="10"/>
      <c r="E227" s="22"/>
    </row>
    <row r="228" spans="1:7" ht="15.95" customHeight="1">
      <c r="A228" s="12" t="s">
        <v>25</v>
      </c>
      <c r="B228" s="12" t="s">
        <v>197</v>
      </c>
      <c r="C228" s="12" t="s">
        <v>195</v>
      </c>
      <c r="D228" s="37" t="s">
        <v>198</v>
      </c>
      <c r="E228" s="19">
        <v>100000</v>
      </c>
      <c r="F228" s="14">
        <v>100000</v>
      </c>
    </row>
    <row r="229" spans="1:7" ht="15.95" customHeight="1">
      <c r="A229" s="29"/>
      <c r="B229" s="29"/>
      <c r="C229" s="29"/>
      <c r="D229" s="36" t="s">
        <v>5</v>
      </c>
      <c r="E229" s="22">
        <f>SUBTOTAL(9,E228:E228)</f>
        <v>100000</v>
      </c>
    </row>
    <row r="230" spans="1:7" ht="15.95" customHeight="1">
      <c r="A230" s="11" t="s">
        <v>200</v>
      </c>
      <c r="D230" s="16"/>
      <c r="E230" s="21"/>
    </row>
    <row r="231" spans="1:7" ht="15.95" customHeight="1">
      <c r="A231" s="13"/>
      <c r="D231" s="16"/>
      <c r="E231" s="21"/>
    </row>
    <row r="232" spans="1:7" ht="15.95" customHeight="1">
      <c r="A232" s="34" t="s">
        <v>7</v>
      </c>
      <c r="D232" s="16"/>
      <c r="E232" s="21"/>
      <c r="G232" s="50"/>
    </row>
    <row r="233" spans="1:7" ht="15.95" customHeight="1">
      <c r="A233" s="12" t="s">
        <v>65</v>
      </c>
      <c r="B233" s="12" t="s">
        <v>14</v>
      </c>
      <c r="C233" s="12" t="s">
        <v>201</v>
      </c>
      <c r="D233" s="37" t="s">
        <v>170</v>
      </c>
      <c r="E233" s="19">
        <v>280000</v>
      </c>
      <c r="F233" s="14">
        <f>E233</f>
        <v>280000</v>
      </c>
      <c r="G233" s="50"/>
    </row>
    <row r="234" spans="1:7" ht="15.95" customHeight="1">
      <c r="A234" s="3"/>
      <c r="B234" s="3"/>
      <c r="C234" s="3"/>
      <c r="D234" s="36" t="s">
        <v>5</v>
      </c>
      <c r="E234" s="22">
        <f>SUBTOTAL(9,E233)</f>
        <v>280000</v>
      </c>
      <c r="G234" s="49"/>
    </row>
    <row r="235" spans="1:7" ht="15.95" customHeight="1">
      <c r="A235" s="33" t="s">
        <v>11</v>
      </c>
      <c r="D235" s="10"/>
      <c r="E235" s="22"/>
    </row>
    <row r="236" spans="1:7" ht="15.95" customHeight="1">
      <c r="A236" s="12" t="s">
        <v>69</v>
      </c>
      <c r="B236" s="12" t="s">
        <v>70</v>
      </c>
      <c r="C236" s="12" t="s">
        <v>201</v>
      </c>
      <c r="D236" s="37" t="s">
        <v>171</v>
      </c>
      <c r="E236" s="22"/>
    </row>
    <row r="237" spans="1:7" ht="15.95" customHeight="1">
      <c r="C237" s="12"/>
      <c r="D237" s="37"/>
      <c r="E237" s="19">
        <v>280000</v>
      </c>
      <c r="F237" s="14">
        <f>0+E237</f>
        <v>280000</v>
      </c>
    </row>
    <row r="238" spans="1:7" ht="15.95" customHeight="1">
      <c r="A238" s="11" t="s">
        <v>202</v>
      </c>
      <c r="D238" s="16"/>
      <c r="E238" s="21"/>
    </row>
    <row r="239" spans="1:7" ht="15.95" customHeight="1">
      <c r="A239" s="13"/>
      <c r="D239" s="16"/>
      <c r="E239" s="21"/>
    </row>
    <row r="240" spans="1:7" ht="15.95" customHeight="1">
      <c r="A240" s="34" t="s">
        <v>7</v>
      </c>
      <c r="D240" s="16"/>
      <c r="E240" s="21"/>
      <c r="G240" s="50"/>
    </row>
    <row r="241" spans="1:7" ht="15.95" customHeight="1">
      <c r="A241" s="12" t="s">
        <v>205</v>
      </c>
      <c r="B241" s="12" t="s">
        <v>14</v>
      </c>
      <c r="C241" s="12" t="s">
        <v>204</v>
      </c>
      <c r="D241" s="37" t="s">
        <v>170</v>
      </c>
      <c r="E241" s="19">
        <v>300000</v>
      </c>
      <c r="F241" s="14">
        <v>500000</v>
      </c>
      <c r="G241" s="50"/>
    </row>
    <row r="242" spans="1:7" ht="15.95" customHeight="1">
      <c r="A242" s="3"/>
      <c r="B242" s="3"/>
      <c r="C242" s="3"/>
      <c r="D242" s="36" t="s">
        <v>5</v>
      </c>
      <c r="E242" s="22">
        <f>SUBTOTAL(9,E241)</f>
        <v>300000</v>
      </c>
    </row>
    <row r="243" spans="1:7" ht="15.95" customHeight="1">
      <c r="A243" s="33" t="s">
        <v>11</v>
      </c>
      <c r="D243" s="10"/>
      <c r="E243" s="22"/>
    </row>
    <row r="244" spans="1:7" ht="15.95" customHeight="1">
      <c r="A244" s="12" t="s">
        <v>203</v>
      </c>
      <c r="B244" s="12" t="s">
        <v>70</v>
      </c>
      <c r="C244" s="12" t="s">
        <v>204</v>
      </c>
      <c r="D244" s="37" t="s">
        <v>171</v>
      </c>
      <c r="E244" s="19">
        <v>300000</v>
      </c>
      <c r="F244" s="14">
        <v>500000</v>
      </c>
    </row>
    <row r="245" spans="1:7" ht="15.95" customHeight="1">
      <c r="C245" s="12"/>
      <c r="D245" s="36" t="s">
        <v>5</v>
      </c>
      <c r="E245" s="22">
        <f>SUBTOTAL(9,E244:E244)</f>
        <v>300000</v>
      </c>
    </row>
    <row r="246" spans="1:7" ht="15.95" customHeight="1">
      <c r="A246" s="11" t="s">
        <v>208</v>
      </c>
      <c r="D246" s="16"/>
      <c r="E246" s="21"/>
    </row>
    <row r="247" spans="1:7" ht="15.95" customHeight="1">
      <c r="A247" s="13"/>
      <c r="D247" s="16"/>
      <c r="E247" s="21"/>
    </row>
    <row r="248" spans="1:7" ht="15.95" customHeight="1">
      <c r="A248" s="34" t="s">
        <v>7</v>
      </c>
      <c r="D248" s="16"/>
      <c r="E248" s="21"/>
      <c r="G248" s="50"/>
    </row>
    <row r="249" spans="1:7" ht="15.95" customHeight="1">
      <c r="A249" s="12" t="s">
        <v>65</v>
      </c>
      <c r="B249" s="12" t="s">
        <v>14</v>
      </c>
      <c r="C249" s="12" t="s">
        <v>209</v>
      </c>
      <c r="D249" s="37" t="s">
        <v>170</v>
      </c>
      <c r="E249" s="19">
        <v>145000</v>
      </c>
      <c r="F249" s="14">
        <v>145000</v>
      </c>
      <c r="G249" s="50"/>
    </row>
    <row r="250" spans="1:7" ht="15.95" customHeight="1">
      <c r="A250" s="3"/>
      <c r="B250" s="3"/>
      <c r="C250" s="3"/>
      <c r="D250" s="36" t="s">
        <v>5</v>
      </c>
      <c r="E250" s="22">
        <f>SUBTOTAL(9,E249)</f>
        <v>145000</v>
      </c>
      <c r="G250" s="50"/>
    </row>
    <row r="251" spans="1:7" ht="15.95" customHeight="1">
      <c r="A251" s="33" t="s">
        <v>11</v>
      </c>
      <c r="D251" s="10"/>
      <c r="E251" s="22"/>
      <c r="G251" s="50"/>
    </row>
    <row r="252" spans="1:7" ht="15.95" customHeight="1">
      <c r="A252" s="12" t="s">
        <v>69</v>
      </c>
      <c r="B252" s="12" t="s">
        <v>70</v>
      </c>
      <c r="C252" s="12" t="s">
        <v>209</v>
      </c>
      <c r="D252" s="37" t="s">
        <v>171</v>
      </c>
      <c r="E252" s="19">
        <v>145000</v>
      </c>
      <c r="F252" s="14">
        <v>145000</v>
      </c>
      <c r="G252" s="50"/>
    </row>
    <row r="253" spans="1:7" ht="15.95" customHeight="1">
      <c r="C253" s="12"/>
      <c r="D253" s="36" t="s">
        <v>5</v>
      </c>
      <c r="E253" s="22">
        <f>SUBTOTAL(9,E252:E252)</f>
        <v>145000</v>
      </c>
      <c r="G253" s="50"/>
    </row>
    <row r="254" spans="1:7" ht="15.95" customHeight="1">
      <c r="A254" s="11" t="s">
        <v>168</v>
      </c>
      <c r="D254" s="16"/>
      <c r="E254" s="21"/>
    </row>
    <row r="255" spans="1:7" ht="15.95" customHeight="1">
      <c r="A255" s="13"/>
      <c r="D255" s="16"/>
      <c r="E255" s="21"/>
    </row>
    <row r="256" spans="1:7" ht="15.95" customHeight="1">
      <c r="A256" s="34" t="s">
        <v>7</v>
      </c>
      <c r="D256" s="16"/>
      <c r="E256" s="21"/>
    </row>
    <row r="257" spans="1:7" ht="15.95" customHeight="1">
      <c r="A257" s="12" t="s">
        <v>169</v>
      </c>
      <c r="B257" s="12" t="s">
        <v>14</v>
      </c>
      <c r="C257" s="12" t="s">
        <v>105</v>
      </c>
      <c r="D257" s="37" t="s">
        <v>170</v>
      </c>
      <c r="E257" s="19">
        <v>30000</v>
      </c>
      <c r="F257" s="14">
        <v>88770</v>
      </c>
    </row>
    <row r="258" spans="1:7" ht="15.95" customHeight="1">
      <c r="A258" s="3"/>
      <c r="B258" s="3"/>
      <c r="C258" s="3"/>
      <c r="D258" s="36" t="s">
        <v>5</v>
      </c>
      <c r="E258" s="22">
        <f>SUBTOTAL(9,E257)</f>
        <v>30000</v>
      </c>
    </row>
    <row r="259" spans="1:7" ht="15.95" customHeight="1">
      <c r="A259" s="33" t="s">
        <v>11</v>
      </c>
      <c r="D259" s="10"/>
      <c r="E259" s="22"/>
    </row>
    <row r="260" spans="1:7" ht="15.95" customHeight="1">
      <c r="A260" s="12" t="s">
        <v>172</v>
      </c>
      <c r="B260" s="12" t="s">
        <v>70</v>
      </c>
      <c r="C260" s="12" t="s">
        <v>105</v>
      </c>
      <c r="D260" s="37" t="s">
        <v>171</v>
      </c>
      <c r="E260" s="19">
        <v>30000</v>
      </c>
      <c r="F260" s="14">
        <v>172713</v>
      </c>
    </row>
    <row r="261" spans="1:7" ht="15.95" customHeight="1">
      <c r="A261" s="29"/>
      <c r="B261" s="29"/>
      <c r="C261" s="29"/>
      <c r="D261" s="36" t="s">
        <v>5</v>
      </c>
      <c r="E261" s="22">
        <f>SUBTOTAL(9,E260:E260)</f>
        <v>30000</v>
      </c>
    </row>
    <row r="262" spans="1:7" ht="15.95" customHeight="1">
      <c r="A262" s="28" t="s">
        <v>63</v>
      </c>
      <c r="B262" s="29"/>
      <c r="C262" s="29"/>
      <c r="D262" s="36"/>
      <c r="E262" s="22"/>
    </row>
    <row r="263" spans="1:7" ht="15.95" customHeight="1">
      <c r="A263" s="28"/>
      <c r="D263" s="16"/>
      <c r="E263" s="21"/>
    </row>
    <row r="264" spans="1:7" ht="15.95" customHeight="1">
      <c r="A264" s="11" t="s">
        <v>22</v>
      </c>
      <c r="D264" s="16"/>
      <c r="E264" s="21"/>
    </row>
    <row r="265" spans="1:7" ht="15.95" customHeight="1">
      <c r="A265" s="13"/>
      <c r="D265" s="16"/>
      <c r="E265" s="21"/>
    </row>
    <row r="266" spans="1:7" ht="15.95" customHeight="1">
      <c r="A266" s="34" t="s">
        <v>7</v>
      </c>
      <c r="D266" s="16"/>
      <c r="E266" s="21"/>
    </row>
    <row r="267" spans="1:7" ht="15.95" customHeight="1">
      <c r="A267" s="12" t="s">
        <v>23</v>
      </c>
      <c r="B267" s="12" t="s">
        <v>14</v>
      </c>
      <c r="C267" s="12" t="s">
        <v>24</v>
      </c>
      <c r="D267" s="37" t="s">
        <v>17</v>
      </c>
      <c r="E267" s="19">
        <v>50000</v>
      </c>
      <c r="F267" s="14">
        <v>50000</v>
      </c>
      <c r="G267" s="41"/>
    </row>
    <row r="268" spans="1:7" ht="15.95" customHeight="1">
      <c r="A268" s="3"/>
      <c r="B268" s="3"/>
      <c r="C268" s="3"/>
      <c r="D268" s="36" t="s">
        <v>5</v>
      </c>
      <c r="E268" s="22">
        <f>SUBTOTAL(9,E267)</f>
        <v>50000</v>
      </c>
    </row>
    <row r="269" spans="1:7" ht="15.95" customHeight="1">
      <c r="A269" s="33" t="s">
        <v>11</v>
      </c>
      <c r="D269" s="10"/>
      <c r="E269" s="22"/>
    </row>
    <row r="270" spans="1:7" ht="15.95" customHeight="1">
      <c r="A270" s="12" t="s">
        <v>25</v>
      </c>
      <c r="B270" s="12" t="s">
        <v>26</v>
      </c>
      <c r="C270" s="12" t="s">
        <v>24</v>
      </c>
      <c r="D270" s="37" t="s">
        <v>27</v>
      </c>
      <c r="E270" s="19">
        <v>50000</v>
      </c>
      <c r="F270" s="14">
        <v>50000</v>
      </c>
      <c r="G270" s="41"/>
    </row>
    <row r="271" spans="1:7" ht="15.95" customHeight="1">
      <c r="A271" s="29"/>
      <c r="B271" s="29"/>
      <c r="C271" s="29"/>
      <c r="D271" s="36" t="s">
        <v>5</v>
      </c>
      <c r="E271" s="22">
        <f>SUBTOTAL(9,E270:E270)</f>
        <v>50000</v>
      </c>
    </row>
    <row r="272" spans="1:7" ht="15.95" customHeight="1">
      <c r="A272" s="11" t="s">
        <v>61</v>
      </c>
      <c r="D272" s="16"/>
      <c r="E272" s="21"/>
    </row>
    <row r="273" spans="1:7" ht="15.95" customHeight="1">
      <c r="A273" s="13"/>
      <c r="D273" s="16"/>
      <c r="E273" s="21"/>
    </row>
    <row r="274" spans="1:7" ht="15.95" customHeight="1">
      <c r="A274" s="34" t="s">
        <v>7</v>
      </c>
      <c r="D274" s="16"/>
      <c r="E274" s="21"/>
    </row>
    <row r="275" spans="1:7" ht="15.95" customHeight="1">
      <c r="A275" s="12" t="s">
        <v>23</v>
      </c>
      <c r="B275" s="12" t="s">
        <v>14</v>
      </c>
      <c r="C275" s="12" t="s">
        <v>62</v>
      </c>
      <c r="D275" s="37" t="s">
        <v>17</v>
      </c>
      <c r="E275" s="19">
        <v>-50000</v>
      </c>
      <c r="F275" s="14">
        <v>0</v>
      </c>
      <c r="G275" s="41"/>
    </row>
    <row r="276" spans="1:7" ht="15.95" customHeight="1">
      <c r="A276" s="3"/>
      <c r="B276" s="3"/>
      <c r="C276" s="3"/>
      <c r="D276" s="36" t="s">
        <v>5</v>
      </c>
      <c r="E276" s="22">
        <f>SUBTOTAL(9,E275)</f>
        <v>-50000</v>
      </c>
    </row>
    <row r="277" spans="1:7" ht="15.95" customHeight="1">
      <c r="A277" s="33" t="s">
        <v>11</v>
      </c>
      <c r="D277" s="10"/>
      <c r="E277" s="22"/>
    </row>
    <row r="278" spans="1:7" ht="15.95" customHeight="1">
      <c r="A278" s="12" t="s">
        <v>25</v>
      </c>
      <c r="B278" s="47">
        <v>565020</v>
      </c>
      <c r="C278" s="47">
        <v>64224</v>
      </c>
      <c r="D278" s="37" t="s">
        <v>27</v>
      </c>
      <c r="E278" s="19">
        <v>-50000</v>
      </c>
      <c r="F278" s="14">
        <v>0</v>
      </c>
      <c r="G278" s="41"/>
    </row>
    <row r="279" spans="1:7" ht="15.95" customHeight="1">
      <c r="A279" s="29"/>
      <c r="B279" s="29"/>
      <c r="C279" s="29"/>
      <c r="D279" s="36" t="s">
        <v>5</v>
      </c>
      <c r="E279" s="22">
        <f>SUBTOTAL(9,E278:E278)</f>
        <v>-50000</v>
      </c>
    </row>
    <row r="280" spans="1:7" ht="15.95" customHeight="1">
      <c r="A280" s="29"/>
      <c r="B280" s="29"/>
      <c r="C280" s="29"/>
      <c r="D280" s="36"/>
      <c r="E280" s="22"/>
    </row>
    <row r="281" spans="1:7" ht="15.95" customHeight="1">
      <c r="A281" s="28" t="s">
        <v>75</v>
      </c>
      <c r="B281" s="1"/>
      <c r="C281" s="23"/>
      <c r="D281" s="25"/>
      <c r="E281" s="21"/>
      <c r="F281" s="26"/>
    </row>
    <row r="282" spans="1:7" ht="15.95" customHeight="1">
      <c r="A282" s="24"/>
      <c r="B282" s="1"/>
      <c r="C282" s="23"/>
      <c r="D282" s="25"/>
      <c r="E282" s="21"/>
      <c r="F282" s="26"/>
    </row>
    <row r="283" spans="1:7" ht="15.95" customHeight="1">
      <c r="A283" s="11" t="s">
        <v>76</v>
      </c>
      <c r="B283" s="1"/>
      <c r="C283" s="23"/>
      <c r="D283" s="25"/>
      <c r="E283" s="21"/>
      <c r="F283" s="26"/>
    </row>
    <row r="284" spans="1:7" ht="15.95" customHeight="1">
      <c r="A284" s="24"/>
      <c r="B284" s="1"/>
      <c r="C284" s="23"/>
      <c r="D284" s="25"/>
      <c r="E284" s="21"/>
      <c r="F284" s="26"/>
    </row>
    <row r="285" spans="1:7" ht="15.95" customHeight="1">
      <c r="A285" s="34" t="s">
        <v>7</v>
      </c>
      <c r="D285" s="16"/>
      <c r="E285" s="21"/>
    </row>
    <row r="286" spans="1:7" ht="15.95" customHeight="1">
      <c r="A286" s="12" t="s">
        <v>77</v>
      </c>
      <c r="B286" s="12" t="s">
        <v>78</v>
      </c>
      <c r="C286" s="12" t="s">
        <v>79</v>
      </c>
      <c r="D286" s="37" t="s">
        <v>80</v>
      </c>
      <c r="E286" s="19">
        <v>26224</v>
      </c>
      <c r="F286" s="14">
        <f>86031+E286</f>
        <v>112255</v>
      </c>
    </row>
    <row r="287" spans="1:7" ht="15.95" customHeight="1">
      <c r="A287" s="3"/>
      <c r="B287" s="3"/>
      <c r="C287" s="3"/>
      <c r="D287" s="36" t="s">
        <v>5</v>
      </c>
      <c r="E287" s="22">
        <f>SUBTOTAL(9,E286)</f>
        <v>26224</v>
      </c>
    </row>
    <row r="288" spans="1:7" ht="15.95" customHeight="1">
      <c r="A288" s="33" t="s">
        <v>11</v>
      </c>
      <c r="D288" s="10"/>
      <c r="E288" s="22"/>
    </row>
    <row r="289" spans="1:6" ht="15.95" customHeight="1">
      <c r="A289" s="12" t="s">
        <v>81</v>
      </c>
      <c r="B289" s="12" t="s">
        <v>70</v>
      </c>
      <c r="C289" s="12" t="s">
        <v>79</v>
      </c>
      <c r="D289" s="37" t="s">
        <v>71</v>
      </c>
      <c r="E289" s="19">
        <v>26224</v>
      </c>
      <c r="F289" s="14">
        <f>101031+E289</f>
        <v>127255</v>
      </c>
    </row>
    <row r="290" spans="1:6" ht="15.95" customHeight="1">
      <c r="A290" s="29"/>
      <c r="B290" s="29"/>
      <c r="C290" s="29"/>
      <c r="D290" s="36" t="s">
        <v>5</v>
      </c>
      <c r="E290" s="22">
        <f>SUBTOTAL(9,E289:E289)</f>
        <v>26224</v>
      </c>
    </row>
    <row r="291" spans="1:6" ht="15.95" customHeight="1">
      <c r="A291" s="11" t="s">
        <v>82</v>
      </c>
      <c r="B291" s="1"/>
      <c r="C291" s="23"/>
      <c r="D291" s="25"/>
      <c r="E291" s="21"/>
      <c r="F291" s="26"/>
    </row>
    <row r="292" spans="1:6" ht="15.95" customHeight="1">
      <c r="A292" s="24"/>
      <c r="B292" s="1"/>
      <c r="C292" s="23"/>
      <c r="D292" s="25"/>
      <c r="E292" s="21"/>
      <c r="F292" s="26"/>
    </row>
    <row r="293" spans="1:6" ht="15.95" customHeight="1">
      <c r="A293" s="34" t="s">
        <v>7</v>
      </c>
      <c r="D293" s="16"/>
      <c r="E293" s="21"/>
    </row>
    <row r="294" spans="1:6" ht="15.95" customHeight="1">
      <c r="A294" s="12" t="s">
        <v>77</v>
      </c>
      <c r="B294" s="12" t="s">
        <v>78</v>
      </c>
      <c r="C294" s="12" t="s">
        <v>83</v>
      </c>
      <c r="D294" s="37" t="s">
        <v>80</v>
      </c>
      <c r="E294" s="19">
        <v>30990</v>
      </c>
      <c r="F294" s="14">
        <f>88944+E294</f>
        <v>119934</v>
      </c>
    </row>
    <row r="295" spans="1:6" ht="15.95" customHeight="1">
      <c r="A295" s="3"/>
      <c r="B295" s="3"/>
      <c r="C295" s="3"/>
      <c r="D295" s="36" t="s">
        <v>5</v>
      </c>
      <c r="E295" s="22">
        <f>SUBTOTAL(9,E294)</f>
        <v>30990</v>
      </c>
    </row>
    <row r="296" spans="1:6" ht="15.95" customHeight="1">
      <c r="A296" s="33" t="s">
        <v>11</v>
      </c>
      <c r="D296" s="10"/>
      <c r="E296" s="22"/>
    </row>
    <row r="297" spans="1:6" ht="15.95" customHeight="1">
      <c r="A297" s="12" t="s">
        <v>81</v>
      </c>
      <c r="B297" s="12" t="s">
        <v>70</v>
      </c>
      <c r="C297" s="12" t="s">
        <v>83</v>
      </c>
      <c r="D297" s="37" t="s">
        <v>71</v>
      </c>
      <c r="E297" s="19">
        <v>30990</v>
      </c>
      <c r="F297" s="14">
        <f>35000+E297</f>
        <v>65990</v>
      </c>
    </row>
    <row r="298" spans="1:6" ht="15.95" customHeight="1">
      <c r="A298" s="29"/>
      <c r="B298" s="29"/>
      <c r="C298" s="29"/>
      <c r="D298" s="36" t="s">
        <v>5</v>
      </c>
      <c r="E298" s="22">
        <f>SUBTOTAL(9,E297:E297)</f>
        <v>30990</v>
      </c>
    </row>
    <row r="299" spans="1:6" ht="15.95" customHeight="1">
      <c r="A299" s="11" t="s">
        <v>84</v>
      </c>
      <c r="B299" s="1"/>
      <c r="C299" s="23"/>
      <c r="D299" s="25"/>
      <c r="E299" s="21"/>
      <c r="F299" s="26"/>
    </row>
    <row r="300" spans="1:6" ht="15.95" customHeight="1">
      <c r="A300" s="24"/>
      <c r="B300" s="1"/>
      <c r="C300" s="23"/>
      <c r="D300" s="25"/>
      <c r="E300" s="21"/>
      <c r="F300" s="26"/>
    </row>
    <row r="301" spans="1:6" ht="15.95" customHeight="1">
      <c r="A301" s="34" t="s">
        <v>7</v>
      </c>
      <c r="D301" s="16"/>
      <c r="E301" s="21"/>
    </row>
    <row r="302" spans="1:6" ht="15.95" customHeight="1">
      <c r="A302" s="12" t="s">
        <v>77</v>
      </c>
      <c r="B302" s="12" t="s">
        <v>78</v>
      </c>
      <c r="C302" s="12" t="s">
        <v>85</v>
      </c>
      <c r="D302" s="37" t="s">
        <v>80</v>
      </c>
      <c r="E302" s="19">
        <v>91301</v>
      </c>
      <c r="F302" s="14">
        <f>265960+E302</f>
        <v>357261</v>
      </c>
    </row>
    <row r="303" spans="1:6" ht="15.95" customHeight="1">
      <c r="A303" s="3"/>
      <c r="B303" s="3"/>
      <c r="C303" s="3"/>
      <c r="D303" s="36" t="s">
        <v>5</v>
      </c>
      <c r="E303" s="22">
        <f>SUBTOTAL(9,E302)</f>
        <v>91301</v>
      </c>
    </row>
    <row r="304" spans="1:6" ht="15.95" customHeight="1">
      <c r="A304" s="33" t="s">
        <v>11</v>
      </c>
      <c r="D304" s="10"/>
      <c r="E304" s="22"/>
    </row>
    <row r="305" spans="1:6" ht="15.95" customHeight="1">
      <c r="A305" s="12" t="s">
        <v>81</v>
      </c>
      <c r="B305" s="12" t="s">
        <v>70</v>
      </c>
      <c r="C305" s="12" t="s">
        <v>85</v>
      </c>
      <c r="D305" s="37" t="s">
        <v>71</v>
      </c>
      <c r="E305" s="19">
        <v>91301</v>
      </c>
      <c r="F305" s="14">
        <f>355000+E305</f>
        <v>446301</v>
      </c>
    </row>
    <row r="306" spans="1:6" ht="15.95" customHeight="1">
      <c r="A306" s="29"/>
      <c r="B306" s="29"/>
      <c r="C306" s="29"/>
      <c r="D306" s="36" t="s">
        <v>5</v>
      </c>
      <c r="E306" s="22">
        <f>SUBTOTAL(9,E305:E305)</f>
        <v>91301</v>
      </c>
    </row>
    <row r="307" spans="1:6" ht="15.95" customHeight="1">
      <c r="A307" s="29"/>
      <c r="B307" s="29"/>
      <c r="C307" s="29"/>
      <c r="D307" s="36"/>
      <c r="E307" s="22"/>
    </row>
    <row r="308" spans="1:6" ht="15.95" customHeight="1">
      <c r="A308" s="11" t="s">
        <v>86</v>
      </c>
      <c r="B308" s="1"/>
      <c r="C308" s="23"/>
      <c r="D308" s="25"/>
      <c r="E308" s="21"/>
      <c r="F308" s="26"/>
    </row>
    <row r="309" spans="1:6" ht="15.95" customHeight="1">
      <c r="A309" s="24"/>
      <c r="B309" s="1"/>
      <c r="C309" s="23"/>
      <c r="D309" s="25"/>
      <c r="E309" s="21"/>
      <c r="F309" s="26"/>
    </row>
    <row r="310" spans="1:6" ht="15.95" customHeight="1">
      <c r="A310" s="34" t="s">
        <v>7</v>
      </c>
      <c r="D310" s="16"/>
      <c r="E310" s="21"/>
    </row>
    <row r="311" spans="1:6" ht="15.95" customHeight="1">
      <c r="A311" s="12" t="s">
        <v>77</v>
      </c>
      <c r="B311" s="12" t="s">
        <v>78</v>
      </c>
      <c r="C311" s="12" t="s">
        <v>87</v>
      </c>
      <c r="D311" s="37" t="s">
        <v>80</v>
      </c>
      <c r="E311" s="19">
        <v>2358625</v>
      </c>
      <c r="F311" s="14">
        <f>6769500+E311</f>
        <v>9128125</v>
      </c>
    </row>
    <row r="312" spans="1:6" ht="15.95" customHeight="1">
      <c r="A312" s="3"/>
      <c r="B312" s="3"/>
      <c r="C312" s="3"/>
      <c r="D312" s="36" t="s">
        <v>5</v>
      </c>
      <c r="E312" s="22">
        <f>SUBTOTAL(9,E311)</f>
        <v>2358625</v>
      </c>
    </row>
    <row r="313" spans="1:6" ht="15.95" customHeight="1">
      <c r="A313" s="33" t="s">
        <v>11</v>
      </c>
      <c r="D313" s="10"/>
      <c r="E313" s="22"/>
    </row>
    <row r="314" spans="1:6" ht="15.95" customHeight="1">
      <c r="A314" s="12" t="s">
        <v>81</v>
      </c>
      <c r="B314" s="12" t="s">
        <v>70</v>
      </c>
      <c r="C314" s="12" t="s">
        <v>87</v>
      </c>
      <c r="D314" s="37" t="s">
        <v>71</v>
      </c>
      <c r="E314" s="19">
        <v>2358625</v>
      </c>
      <c r="F314" s="14">
        <f>16241500+E314</f>
        <v>18600125</v>
      </c>
    </row>
    <row r="315" spans="1:6" ht="15.95" customHeight="1">
      <c r="A315" s="29"/>
      <c r="B315" s="29"/>
      <c r="C315" s="29"/>
      <c r="D315" s="36" t="s">
        <v>5</v>
      </c>
      <c r="E315" s="22">
        <f>SUBTOTAL(9,E314:E314)</f>
        <v>2358625</v>
      </c>
    </row>
    <row r="316" spans="1:6" ht="15.95" customHeight="1">
      <c r="A316" s="11" t="s">
        <v>153</v>
      </c>
      <c r="B316" s="1"/>
      <c r="C316" s="23"/>
      <c r="D316" s="25"/>
      <c r="E316" s="21"/>
      <c r="F316" s="26"/>
    </row>
    <row r="317" spans="1:6" ht="15.95" customHeight="1">
      <c r="A317" s="24"/>
      <c r="B317" s="1"/>
      <c r="C317" s="23"/>
      <c r="D317" s="25"/>
      <c r="E317" s="21"/>
      <c r="F317" s="26"/>
    </row>
    <row r="318" spans="1:6" ht="15.95" customHeight="1">
      <c r="A318" s="34" t="s">
        <v>7</v>
      </c>
      <c r="D318" s="16"/>
      <c r="E318" s="21"/>
    </row>
    <row r="319" spans="1:6" ht="15.95" customHeight="1">
      <c r="A319" s="12" t="s">
        <v>91</v>
      </c>
      <c r="B319" s="12" t="s">
        <v>92</v>
      </c>
      <c r="C319" s="12" t="s">
        <v>154</v>
      </c>
      <c r="D319" s="37" t="s">
        <v>93</v>
      </c>
      <c r="E319" s="19">
        <v>147000</v>
      </c>
      <c r="F319" s="14">
        <f>140000+E319</f>
        <v>287000</v>
      </c>
    </row>
    <row r="320" spans="1:6" ht="15.95" customHeight="1">
      <c r="A320" s="3"/>
      <c r="B320" s="3"/>
      <c r="C320" s="3"/>
      <c r="D320" s="36" t="s">
        <v>5</v>
      </c>
      <c r="E320" s="22">
        <f>SUBTOTAL(9,E319)</f>
        <v>147000</v>
      </c>
    </row>
    <row r="321" spans="1:6" ht="15.95" customHeight="1">
      <c r="A321" s="33" t="s">
        <v>11</v>
      </c>
      <c r="D321" s="10"/>
      <c r="E321" s="22"/>
    </row>
    <row r="322" spans="1:6" ht="15.95" customHeight="1">
      <c r="A322" s="12" t="s">
        <v>90</v>
      </c>
      <c r="B322" s="12" t="s">
        <v>155</v>
      </c>
      <c r="C322" s="12" t="s">
        <v>154</v>
      </c>
      <c r="D322" s="37" t="s">
        <v>156</v>
      </c>
      <c r="E322" s="19">
        <v>147000</v>
      </c>
      <c r="F322" s="14">
        <f>140000+E322</f>
        <v>287000</v>
      </c>
    </row>
    <row r="323" spans="1:6" ht="15.95" customHeight="1">
      <c r="A323" s="29"/>
      <c r="B323" s="29"/>
      <c r="C323" s="29"/>
      <c r="D323" s="36" t="s">
        <v>5</v>
      </c>
      <c r="E323" s="22">
        <f>SUBTOTAL(9,E322:E322)</f>
        <v>147000</v>
      </c>
    </row>
    <row r="324" spans="1:6" ht="15.95" customHeight="1">
      <c r="A324" s="11" t="s">
        <v>88</v>
      </c>
      <c r="B324" s="1"/>
      <c r="C324" s="23"/>
      <c r="D324" s="25"/>
      <c r="E324" s="21"/>
      <c r="F324" s="26"/>
    </row>
    <row r="325" spans="1:6" ht="15.95" customHeight="1">
      <c r="A325" s="24"/>
      <c r="B325" s="1"/>
      <c r="C325" s="23"/>
      <c r="D325" s="25"/>
      <c r="E325" s="21"/>
      <c r="F325" s="26"/>
    </row>
    <row r="326" spans="1:6" ht="15.95" customHeight="1">
      <c r="A326" s="34" t="s">
        <v>7</v>
      </c>
      <c r="D326" s="16"/>
      <c r="E326" s="21"/>
    </row>
    <row r="327" spans="1:6" ht="15.95" customHeight="1">
      <c r="A327" s="12" t="s">
        <v>91</v>
      </c>
      <c r="B327" s="12" t="s">
        <v>92</v>
      </c>
      <c r="C327" s="12" t="s">
        <v>89</v>
      </c>
      <c r="D327" s="37" t="s">
        <v>93</v>
      </c>
      <c r="E327" s="19">
        <v>130000</v>
      </c>
      <c r="F327" s="14">
        <f>0+E327</f>
        <v>130000</v>
      </c>
    </row>
    <row r="328" spans="1:6" ht="15.95" customHeight="1">
      <c r="A328" s="3"/>
      <c r="B328" s="3"/>
      <c r="C328" s="3"/>
      <c r="D328" s="36" t="s">
        <v>5</v>
      </c>
      <c r="E328" s="22">
        <f>SUBTOTAL(9,E327)</f>
        <v>130000</v>
      </c>
    </row>
    <row r="329" spans="1:6" ht="15.95" customHeight="1">
      <c r="A329" s="33" t="s">
        <v>11</v>
      </c>
      <c r="D329" s="10"/>
      <c r="E329" s="22"/>
    </row>
    <row r="330" spans="1:6" ht="15.95" customHeight="1">
      <c r="A330" s="12" t="s">
        <v>90</v>
      </c>
      <c r="B330" s="12" t="s">
        <v>70</v>
      </c>
      <c r="C330" s="12" t="s">
        <v>89</v>
      </c>
      <c r="D330" s="37" t="s">
        <v>71</v>
      </c>
      <c r="E330" s="19">
        <v>130000</v>
      </c>
      <c r="F330" s="14">
        <f>650000+E330</f>
        <v>780000</v>
      </c>
    </row>
    <row r="331" spans="1:6" ht="15.95" customHeight="1">
      <c r="A331" s="29"/>
      <c r="B331" s="29"/>
      <c r="C331" s="29"/>
      <c r="D331" s="36" t="s">
        <v>5</v>
      </c>
      <c r="E331" s="22">
        <f>SUBTOTAL(9,E330:E330)</f>
        <v>130000</v>
      </c>
    </row>
    <row r="332" spans="1:6" ht="15.95" customHeight="1">
      <c r="A332" s="11" t="s">
        <v>157</v>
      </c>
      <c r="B332" s="1"/>
      <c r="C332" s="23"/>
      <c r="D332" s="25"/>
      <c r="E332" s="21"/>
      <c r="F332" s="26"/>
    </row>
    <row r="333" spans="1:6" ht="15.95" customHeight="1">
      <c r="A333" s="23" t="s">
        <v>177</v>
      </c>
      <c r="B333" s="1"/>
      <c r="C333" s="23"/>
      <c r="D333" s="25"/>
      <c r="E333" s="21"/>
      <c r="F333" s="26"/>
    </row>
    <row r="334" spans="1:6" ht="15.95" customHeight="1">
      <c r="A334" s="23"/>
      <c r="B334" s="1"/>
      <c r="C334" s="23"/>
      <c r="D334" s="25"/>
      <c r="E334" s="21"/>
      <c r="F334" s="26"/>
    </row>
    <row r="335" spans="1:6" ht="15.95" customHeight="1">
      <c r="A335" s="34" t="s">
        <v>7</v>
      </c>
      <c r="D335" s="16"/>
      <c r="E335" s="21"/>
    </row>
    <row r="336" spans="1:6" ht="15.95" customHeight="1">
      <c r="A336" s="12" t="s">
        <v>91</v>
      </c>
      <c r="B336" s="12" t="s">
        <v>210</v>
      </c>
      <c r="C336" s="12" t="s">
        <v>158</v>
      </c>
      <c r="D336" s="37" t="s">
        <v>93</v>
      </c>
      <c r="E336" s="19">
        <v>1081994</v>
      </c>
      <c r="F336" s="14">
        <v>1081994</v>
      </c>
    </row>
    <row r="337" spans="1:6" ht="15.95" customHeight="1">
      <c r="A337" s="3"/>
      <c r="B337" s="3"/>
      <c r="C337" s="3"/>
      <c r="D337" s="36" t="s">
        <v>5</v>
      </c>
      <c r="E337" s="22">
        <f>SUBTOTAL(9,E336)</f>
        <v>1081994</v>
      </c>
    </row>
    <row r="338" spans="1:6" ht="15.95" customHeight="1">
      <c r="A338" s="33" t="s">
        <v>11</v>
      </c>
      <c r="D338" s="10"/>
      <c r="E338" s="22"/>
    </row>
    <row r="339" spans="1:6" ht="15.95" customHeight="1">
      <c r="A339" s="12" t="s">
        <v>159</v>
      </c>
      <c r="B339" s="12" t="s">
        <v>160</v>
      </c>
      <c r="C339" s="12" t="s">
        <v>158</v>
      </c>
      <c r="D339" s="37" t="s">
        <v>161</v>
      </c>
      <c r="E339" s="19">
        <v>1081994</v>
      </c>
      <c r="F339" s="14">
        <f>726024.15+E339-174500</f>
        <v>1633518.15</v>
      </c>
    </row>
    <row r="340" spans="1:6" ht="15.95" customHeight="1">
      <c r="A340" s="29"/>
      <c r="B340" s="29"/>
      <c r="C340" s="29"/>
      <c r="D340" s="36" t="s">
        <v>5</v>
      </c>
      <c r="E340" s="22">
        <f>SUBTOTAL(9,E339:E339)</f>
        <v>1081994</v>
      </c>
    </row>
    <row r="341" spans="1:6" ht="15.95" customHeight="1">
      <c r="A341" s="28" t="s">
        <v>136</v>
      </c>
      <c r="B341" s="29"/>
      <c r="C341" s="29"/>
      <c r="D341" s="36"/>
      <c r="E341" s="22"/>
    </row>
    <row r="342" spans="1:6" ht="15.95" customHeight="1">
      <c r="A342" s="28"/>
      <c r="B342" s="29"/>
      <c r="C342" s="29"/>
      <c r="D342" s="36"/>
      <c r="E342" s="22"/>
    </row>
    <row r="343" spans="1:6" ht="15.95" customHeight="1">
      <c r="A343" s="11" t="s">
        <v>137</v>
      </c>
      <c r="B343" s="1"/>
      <c r="C343" s="23"/>
      <c r="D343" s="25"/>
      <c r="E343" s="21"/>
      <c r="F343" s="26"/>
    </row>
    <row r="344" spans="1:6" ht="15.95" customHeight="1">
      <c r="A344" s="24"/>
      <c r="B344" s="1"/>
      <c r="C344" s="23"/>
      <c r="D344" s="25"/>
      <c r="E344" s="21"/>
      <c r="F344" s="26"/>
    </row>
    <row r="345" spans="1:6" ht="15.95" customHeight="1">
      <c r="A345" s="34" t="s">
        <v>7</v>
      </c>
      <c r="D345" s="16"/>
      <c r="E345" s="21"/>
    </row>
    <row r="346" spans="1:6" ht="15.95" customHeight="1">
      <c r="A346" s="12" t="s">
        <v>138</v>
      </c>
      <c r="B346" s="12" t="s">
        <v>78</v>
      </c>
      <c r="C346" s="12" t="s">
        <v>139</v>
      </c>
      <c r="D346" s="37" t="s">
        <v>80</v>
      </c>
      <c r="E346" s="19">
        <v>120581</v>
      </c>
      <c r="F346" s="14">
        <f>306740+E346</f>
        <v>427321</v>
      </c>
    </row>
    <row r="347" spans="1:6" ht="15.95" customHeight="1">
      <c r="A347" s="3"/>
      <c r="B347" s="3"/>
      <c r="C347" s="3"/>
      <c r="D347" s="36" t="s">
        <v>5</v>
      </c>
      <c r="E347" s="22">
        <f>SUBTOTAL(9,E346)</f>
        <v>120581</v>
      </c>
    </row>
    <row r="348" spans="1:6" ht="15.95" customHeight="1">
      <c r="A348" s="33" t="s">
        <v>11</v>
      </c>
      <c r="D348" s="10"/>
      <c r="E348" s="22"/>
    </row>
    <row r="349" spans="1:6" ht="15.95" customHeight="1">
      <c r="A349" s="12" t="s">
        <v>140</v>
      </c>
      <c r="B349" s="12" t="s">
        <v>70</v>
      </c>
      <c r="C349" s="12" t="s">
        <v>139</v>
      </c>
      <c r="D349" s="37" t="s">
        <v>71</v>
      </c>
      <c r="E349" s="19">
        <v>120581</v>
      </c>
      <c r="F349" s="14">
        <f>1598370+E349</f>
        <v>1718951</v>
      </c>
    </row>
    <row r="350" spans="1:6" ht="15.95" customHeight="1">
      <c r="A350" s="29"/>
      <c r="B350" s="29"/>
      <c r="C350" s="29"/>
      <c r="D350" s="36" t="s">
        <v>5</v>
      </c>
      <c r="E350" s="22">
        <f>SUBTOTAL(9,E349:E349)</f>
        <v>120581</v>
      </c>
    </row>
    <row r="351" spans="1:6" ht="15.95" customHeight="1">
      <c r="A351" s="28"/>
      <c r="B351" s="29"/>
      <c r="C351" s="29"/>
      <c r="D351" s="36"/>
      <c r="E351" s="22"/>
    </row>
    <row r="352" spans="1:6" ht="15.95" customHeight="1">
      <c r="A352" s="11" t="s">
        <v>141</v>
      </c>
      <c r="B352" s="1"/>
      <c r="C352" s="23"/>
      <c r="D352" s="25"/>
      <c r="E352" s="21"/>
      <c r="F352" s="26"/>
    </row>
    <row r="353" spans="1:6" ht="15.95" customHeight="1">
      <c r="A353" s="24"/>
      <c r="B353" s="1"/>
      <c r="C353" s="23"/>
      <c r="D353" s="25"/>
      <c r="E353" s="21"/>
      <c r="F353" s="26"/>
    </row>
    <row r="354" spans="1:6" ht="15.95" customHeight="1">
      <c r="A354" s="34" t="s">
        <v>7</v>
      </c>
      <c r="D354" s="16"/>
      <c r="E354" s="21"/>
    </row>
    <row r="355" spans="1:6" ht="15.95" customHeight="1">
      <c r="A355" s="12" t="s">
        <v>138</v>
      </c>
      <c r="B355" s="12" t="s">
        <v>78</v>
      </c>
      <c r="C355" s="12" t="s">
        <v>142</v>
      </c>
      <c r="D355" s="37" t="s">
        <v>80</v>
      </c>
      <c r="E355" s="19">
        <v>130055</v>
      </c>
      <c r="F355" s="14">
        <f>330841+E355</f>
        <v>460896</v>
      </c>
    </row>
    <row r="356" spans="1:6" ht="15.95" customHeight="1">
      <c r="A356" s="3"/>
      <c r="B356" s="3"/>
      <c r="C356" s="3"/>
      <c r="D356" s="36" t="s">
        <v>5</v>
      </c>
      <c r="E356" s="22">
        <f>SUBTOTAL(9,E355)</f>
        <v>130055</v>
      </c>
    </row>
    <row r="357" spans="1:6" ht="15.95" customHeight="1">
      <c r="A357" s="33" t="s">
        <v>11</v>
      </c>
      <c r="D357" s="10"/>
      <c r="E357" s="22"/>
    </row>
    <row r="358" spans="1:6" ht="15.95" customHeight="1">
      <c r="A358" s="12" t="s">
        <v>140</v>
      </c>
      <c r="B358" s="12" t="s">
        <v>70</v>
      </c>
      <c r="C358" s="12" t="s">
        <v>142</v>
      </c>
      <c r="D358" s="37" t="s">
        <v>71</v>
      </c>
      <c r="E358" s="19">
        <v>130055</v>
      </c>
      <c r="F358" s="14">
        <f>E358</f>
        <v>130055</v>
      </c>
    </row>
    <row r="359" spans="1:6" ht="15.95" customHeight="1">
      <c r="A359" s="29"/>
      <c r="B359" s="29"/>
      <c r="C359" s="29"/>
      <c r="D359" s="36" t="s">
        <v>5</v>
      </c>
      <c r="E359" s="22">
        <f>SUBTOTAL(9,E358:E358)</f>
        <v>130055</v>
      </c>
    </row>
    <row r="360" spans="1:6" ht="15.95" customHeight="1">
      <c r="A360" s="29"/>
      <c r="B360" s="29"/>
      <c r="C360" s="29"/>
      <c r="D360" s="36"/>
      <c r="E360" s="22"/>
    </row>
    <row r="361" spans="1:6" ht="15.95" customHeight="1" thickBot="1">
      <c r="C361" s="23"/>
      <c r="D361" s="25" t="s">
        <v>13</v>
      </c>
      <c r="E361" s="17">
        <f>E356+E347+E337+E328+E320+E311+E303+E295+E287+E257+E250++E242+E234+E226+E169+E152+E144+E133+E134+6200</f>
        <v>7727543</v>
      </c>
    </row>
    <row r="362" spans="1:6" ht="15.95" customHeight="1" thickTop="1"/>
  </sheetData>
  <customSheetViews>
    <customSheetView guid="{C6D943DA-BB19-43A1-B830-736D9C012146}" scale="150" showPageBreaks="1" fitToPage="1" printArea="1" view="pageBreakPreview" topLeftCell="A214">
      <selection activeCell="D249" sqref="D249"/>
      <rowBreaks count="5" manualBreakCount="5">
        <brk id="44" max="7" man="1"/>
        <brk id="90" max="7" man="1"/>
        <brk id="136" max="7" man="1"/>
        <brk id="182" max="7" man="1"/>
        <brk id="231" max="7" man="1"/>
      </rowBreaks>
      <pageMargins left="0.5" right="0.5" top="0.5" bottom="0.5" header="0.3" footer="0.3"/>
      <printOptions horizontalCentered="1"/>
      <pageSetup scale="98" fitToHeight="0" orientation="portrait" r:id="rId1"/>
      <headerFooter differentFirst="1" alignWithMargins="0">
        <oddFooter>&amp;C- &amp;P -</oddFooter>
        <firstFooter>&amp;C- &amp;P -</firstFooter>
      </headerFooter>
    </customSheetView>
    <customSheetView guid="{42656511-B4D8-4F96-B13E-D97906B3341F}" scale="150" showPageBreaks="1" fitToPage="1" printArea="1" view="pageBreakPreview" topLeftCell="A191">
      <selection activeCell="F198" sqref="F198"/>
      <rowBreaks count="7" manualBreakCount="7">
        <brk id="42" max="7" man="1"/>
        <brk id="78" max="7" man="1"/>
        <brk id="120" max="7" man="1"/>
        <brk id="163" max="7" man="1"/>
        <brk id="205" max="7" man="1"/>
        <brk id="254" max="7" man="1"/>
        <brk id="301" max="7" man="1"/>
      </rowBreaks>
      <pageMargins left="0.5" right="0.5" top="0.5" bottom="0.5" header="0.3" footer="0.3"/>
      <printOptions horizontalCentered="1"/>
      <pageSetup scale="98" fitToHeight="0" orientation="portrait" r:id="rId2"/>
      <headerFooter differentFirst="1" alignWithMargins="0">
        <oddFooter>&amp;C- &amp;P -</oddFooter>
        <firstFooter>&amp;C- &amp;P -</firstFooter>
      </headerFooter>
    </customSheetView>
  </customSheetViews>
  <phoneticPr fontId="26" type="noConversion"/>
  <printOptions horizontalCentered="1"/>
  <pageMargins left="0.5" right="0.5" top="0.5" bottom="0.5" header="0.3" footer="0.3"/>
  <pageSetup scale="98" fitToHeight="0" orientation="portrait" r:id="rId3"/>
  <headerFooter differentFirst="1" alignWithMargins="0">
    <oddFooter>&amp;C- &amp;P -</oddFooter>
    <firstFooter>&amp;C- &amp;P -</firstFooter>
  </headerFooter>
  <rowBreaks count="8" manualBreakCount="8">
    <brk id="48" max="5" man="1"/>
    <brk id="95" max="5" man="1"/>
    <brk id="138" max="5" man="1"/>
    <brk id="181" max="5" man="1"/>
    <brk id="221" max="5" man="1"/>
    <brk id="261" max="5" man="1"/>
    <brk id="307" max="5" man="1"/>
    <brk id="351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Attachment</vt:lpstr>
      <vt:lpstr>Attachment!Print_Area</vt:lpstr>
    </vt:vector>
  </TitlesOfParts>
  <Company>City of Melbourne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Swanke</dc:creator>
  <cp:lastModifiedBy>Liz</cp:lastModifiedBy>
  <cp:lastPrinted>2024-05-31T17:41:03Z</cp:lastPrinted>
  <dcterms:created xsi:type="dcterms:W3CDTF">2007-01-29T16:59:23Z</dcterms:created>
  <dcterms:modified xsi:type="dcterms:W3CDTF">2024-05-31T17:45:40Z</dcterms:modified>
</cp:coreProperties>
</file>